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費用分類(演習)" sheetId="1" state="visible" r:id="rId1"/>
    <sheet xmlns:r="http://schemas.openxmlformats.org/officeDocument/2006/relationships" name="費用分類(完成見本)" sheetId="2" state="visible" r:id="rId2"/>
    <sheet xmlns:r="http://schemas.openxmlformats.org/officeDocument/2006/relationships" name="問15総合問題(演習)" sheetId="3" state="visible" r:id="rId3"/>
    <sheet xmlns:r="http://schemas.openxmlformats.org/officeDocument/2006/relationships" name="問15総合問題(完成見本)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b val="1"/>
      <color rgb="001F4E79"/>
      <sz val="14"/>
    </font>
    <font>
      <name val="Yu Gothic UI"/>
      <i val="1"/>
      <color rgb="00707070"/>
      <sz val="9"/>
    </font>
    <font>
      <name val="Yu Gothic UI"/>
      <color rgb="00707070"/>
      <sz val="9"/>
    </font>
    <font>
      <name val="Yu Gothic UI"/>
      <b val="1"/>
      <color rgb="00FFFFFF"/>
      <sz val="11"/>
    </font>
    <font>
      <name val="Yu Gothic UI"/>
      <color rgb="00000000"/>
      <sz val="10"/>
    </font>
    <font>
      <name val="Yu Gothic UI"/>
      <b val="1"/>
      <color rgb="00000000"/>
      <sz val="10"/>
    </font>
    <font>
      <name val="Yu Gothic UI"/>
      <color rgb="000000FF"/>
      <sz val="11"/>
    </font>
    <font>
      <name val="Yu Gothic UI"/>
      <b val="1"/>
      <color rgb="001F4E79"/>
      <sz val="11"/>
    </font>
    <font>
      <name val="Yu Gothic UI"/>
      <color rgb="00404040"/>
      <sz val="9"/>
    </font>
    <font>
      <name val="Yu Gothic UI"/>
      <b val="1"/>
      <color rgb="00000000"/>
      <sz val="11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FF2CC"/>
      </patternFill>
    </fill>
    <fill>
      <patternFill patternType="solid">
        <fgColor rgb="00FCE4D6"/>
      </patternFill>
    </fill>
    <fill>
      <patternFill patternType="solid">
        <fgColor rgb="00E8F0FE"/>
      </patternFill>
    </fill>
    <fill>
      <patternFill patternType="solid">
        <fgColor rgb="00E2EFDA"/>
      </patternFill>
    </fill>
    <fill>
      <patternFill patternType="solid">
        <fgColor rgb="00F7F8FA"/>
      </patternFill>
    </fill>
  </fills>
  <borders count="6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/>
      <top style="thin">
        <color rgb="00D0D0D0"/>
      </top>
      <bottom style="thin">
        <color rgb="00D0D0D0"/>
      </bottom>
      <diagonal/>
    </border>
    <border>
      <left/>
      <right style="thin">
        <color rgb="00D0D0D0"/>
      </right>
      <top style="thin">
        <color rgb="00D0D0D0"/>
      </top>
      <bottom style="thin">
        <color rgb="00D0D0D0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/>
    </xf>
    <xf numFmtId="3" fontId="7" fillId="3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3" fontId="7" fillId="4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3" fontId="7" fillId="5" borderId="1" applyAlignment="1" pivotButton="0" quotePrefix="0" xfId="0">
      <alignment horizontal="right" vertical="center"/>
    </xf>
    <xf numFmtId="0" fontId="8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6" fillId="3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left" vertical="center" indent="1"/>
    </xf>
    <xf numFmtId="3" fontId="10" fillId="6" borderId="1" applyAlignment="1" pivotButton="0" quotePrefix="0" xfId="0">
      <alignment horizontal="right" vertical="center"/>
    </xf>
    <xf numFmtId="0" fontId="10" fillId="7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/>
    </xf>
    <xf numFmtId="0" fontId="5" fillId="0" borderId="0" pivotButton="0" quotePrefix="0" xfId="0"/>
    <xf numFmtId="0" fontId="10" fillId="6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3" fontId="7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10" fillId="0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H45"/>
  <sheetViews>
    <sheetView workbookViewId="0">
      <selection activeCell="A1" sqref="A1"/>
    </sheetView>
  </sheetViews>
  <sheetFormatPr baseColWidth="8" defaultRowHeight="15"/>
  <cols>
    <col width="3" customWidth="1" min="1" max="1"/>
    <col width="4" customWidth="1" min="2" max="2"/>
    <col width="28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26" customHeight="1">
      <c r="B1" s="1" t="inlineStr">
        <is>
          <t>Day 02 費用分類（演習）</t>
        </is>
      </c>
    </row>
    <row r="2">
      <c r="B2" s="2" t="inlineStr">
        <is>
          <t>ASTRA Manufacturing 2026年4月 費用15項目　― 形態別・製品関連・操業度別の3軸で分類しよう</t>
        </is>
      </c>
    </row>
    <row r="3">
      <c r="B3" s="3" t="inlineStr">
        <is>
          <t>青文字=金額（入力値）　／　黄色セル=分類を入力　／　薄青セル=合計（自動計算）　／　緑セル=検証　　単位：千円</t>
        </is>
      </c>
    </row>
    <row r="4">
      <c r="B4" s="3" t="inlineStr">
        <is>
          <t>単位：千円</t>
        </is>
      </c>
    </row>
    <row r="6" ht="30" customHeight="1">
      <c r="B6" s="4" t="inlineStr">
        <is>
          <t>No</t>
        </is>
      </c>
      <c r="C6" s="4" t="inlineStr">
        <is>
          <t>費用項目</t>
        </is>
      </c>
      <c r="D6" s="4" t="inlineStr">
        <is>
          <t>金額</t>
        </is>
      </c>
      <c r="E6" s="4" t="inlineStr">
        <is>
          <t>大分類
製造原価/販管費/非原価</t>
        </is>
      </c>
      <c r="F6" s="4" t="inlineStr">
        <is>
          <t>形態別
材料費/労務費/経費/―</t>
        </is>
      </c>
      <c r="G6" s="4" t="inlineStr">
        <is>
          <t>直接・間接
直接/間接/―</t>
        </is>
      </c>
      <c r="H6" s="4" t="inlineStr">
        <is>
          <t>変動・固定
変動/固定/―</t>
        </is>
      </c>
    </row>
    <row r="7" ht="22" customHeight="1">
      <c r="B7" s="5" t="n">
        <v>1</v>
      </c>
      <c r="C7" s="6" t="inlineStr">
        <is>
          <t>主要材料費（電子基板）</t>
        </is>
      </c>
      <c r="D7" s="7" t="n">
        <v>1800</v>
      </c>
      <c r="E7" s="8" t="n"/>
      <c r="F7" s="8" t="n"/>
      <c r="G7" s="8" t="n"/>
      <c r="H7" s="8" t="n"/>
    </row>
    <row r="8" ht="22" customHeight="1">
      <c r="B8" s="5" t="n">
        <v>2</v>
      </c>
      <c r="C8" s="6" t="inlineStr">
        <is>
          <t>補助材料費（はんだ・接着剤）</t>
        </is>
      </c>
      <c r="D8" s="7" t="n">
        <v>240</v>
      </c>
      <c r="E8" s="8" t="n"/>
      <c r="F8" s="8" t="n"/>
      <c r="G8" s="8" t="n"/>
      <c r="H8" s="8" t="n"/>
    </row>
    <row r="9" ht="22" customHeight="1">
      <c r="B9" s="5" t="n">
        <v>3</v>
      </c>
      <c r="C9" s="6" t="inlineStr">
        <is>
          <t>工場消耗品費（軍手・清掃用品）</t>
        </is>
      </c>
      <c r="D9" s="7" t="n">
        <v>120</v>
      </c>
      <c r="E9" s="8" t="n"/>
      <c r="F9" s="8" t="n"/>
      <c r="G9" s="8" t="n"/>
      <c r="H9" s="8" t="n"/>
    </row>
    <row r="10" ht="22" customHeight="1">
      <c r="B10" s="5" t="n">
        <v>4</v>
      </c>
      <c r="C10" s="6" t="inlineStr">
        <is>
          <t>直接工賃金</t>
        </is>
      </c>
      <c r="D10" s="7" t="n">
        <v>2800</v>
      </c>
      <c r="E10" s="8" t="n"/>
      <c r="F10" s="8" t="n"/>
      <c r="G10" s="8" t="n"/>
      <c r="H10" s="8" t="n"/>
    </row>
    <row r="11" ht="22" customHeight="1">
      <c r="B11" s="5" t="n">
        <v>5</v>
      </c>
      <c r="C11" s="6" t="inlineStr">
        <is>
          <t>工場長・監督者給料</t>
        </is>
      </c>
      <c r="D11" s="7" t="n">
        <v>280</v>
      </c>
      <c r="E11" s="8" t="n"/>
      <c r="F11" s="8" t="n"/>
      <c r="G11" s="8" t="n"/>
      <c r="H11" s="8" t="n"/>
    </row>
    <row r="12" ht="22" customHeight="1">
      <c r="B12" s="5" t="n">
        <v>6</v>
      </c>
      <c r="C12" s="6" t="inlineStr">
        <is>
          <t>保全・運搬工賃金</t>
        </is>
      </c>
      <c r="D12" s="7" t="n">
        <v>120</v>
      </c>
      <c r="E12" s="8" t="n"/>
      <c r="F12" s="8" t="n"/>
      <c r="G12" s="8" t="n"/>
      <c r="H12" s="8" t="n"/>
    </row>
    <row r="13" ht="22" customHeight="1">
      <c r="B13" s="5" t="n">
        <v>7</v>
      </c>
      <c r="C13" s="6" t="inlineStr">
        <is>
          <t>工場水道光熱費</t>
        </is>
      </c>
      <c r="D13" s="7" t="n">
        <v>180</v>
      </c>
      <c r="E13" s="8" t="n"/>
      <c r="F13" s="8" t="n"/>
      <c r="G13" s="8" t="n"/>
      <c r="H13" s="8" t="n"/>
    </row>
    <row r="14" ht="22" customHeight="1">
      <c r="B14" s="5" t="n">
        <v>8</v>
      </c>
      <c r="C14" s="6" t="inlineStr">
        <is>
          <t>工場建物減価償却費</t>
        </is>
      </c>
      <c r="D14" s="7" t="n">
        <v>220</v>
      </c>
      <c r="E14" s="8" t="n"/>
      <c r="F14" s="8" t="n"/>
      <c r="G14" s="8" t="n"/>
      <c r="H14" s="8" t="n"/>
    </row>
    <row r="15" ht="22" customHeight="1">
      <c r="B15" s="5" t="n">
        <v>9</v>
      </c>
      <c r="C15" s="6" t="inlineStr">
        <is>
          <t>工場設備修繕費</t>
        </is>
      </c>
      <c r="D15" s="7" t="n">
        <v>80</v>
      </c>
      <c r="E15" s="8" t="n"/>
      <c r="F15" s="8" t="n"/>
      <c r="G15" s="8" t="n"/>
      <c r="H15" s="8" t="n"/>
    </row>
    <row r="16" ht="22" customHeight="1">
      <c r="B16" s="9" t="n">
        <v>10</v>
      </c>
      <c r="C16" s="10" t="inlineStr">
        <is>
          <t>販売員給与</t>
        </is>
      </c>
      <c r="D16" s="11" t="n">
        <v>600</v>
      </c>
      <c r="E16" s="8" t="n"/>
      <c r="F16" s="8" t="n"/>
      <c r="G16" s="8" t="n"/>
      <c r="H16" s="8" t="n"/>
    </row>
    <row r="17" ht="22" customHeight="1">
      <c r="B17" s="9" t="n">
        <v>11</v>
      </c>
      <c r="C17" s="10" t="inlineStr">
        <is>
          <t>本社役員給料</t>
        </is>
      </c>
      <c r="D17" s="11" t="n">
        <v>270</v>
      </c>
      <c r="E17" s="8" t="n"/>
      <c r="F17" s="8" t="n"/>
      <c r="G17" s="8" t="n"/>
      <c r="H17" s="8" t="n"/>
    </row>
    <row r="18" ht="22" customHeight="1">
      <c r="B18" s="9" t="n">
        <v>12</v>
      </c>
      <c r="C18" s="10" t="inlineStr">
        <is>
          <t>本社水道光熱費</t>
        </is>
      </c>
      <c r="D18" s="11" t="n">
        <v>80</v>
      </c>
      <c r="E18" s="8" t="n"/>
      <c r="F18" s="8" t="n"/>
      <c r="G18" s="8" t="n"/>
      <c r="H18" s="8" t="n"/>
    </row>
    <row r="19" ht="22" customHeight="1">
      <c r="B19" s="9" t="n">
        <v>13</v>
      </c>
      <c r="C19" s="10" t="inlineStr">
        <is>
          <t>広告宣伝費</t>
        </is>
      </c>
      <c r="D19" s="11" t="n">
        <v>100</v>
      </c>
      <c r="E19" s="8" t="n"/>
      <c r="F19" s="8" t="n"/>
      <c r="G19" s="8" t="n"/>
      <c r="H19" s="8" t="n"/>
    </row>
    <row r="20" ht="22" customHeight="1">
      <c r="B20" s="12" t="n">
        <v>14</v>
      </c>
      <c r="C20" s="13" t="inlineStr">
        <is>
          <t>支払利息</t>
        </is>
      </c>
      <c r="D20" s="14" t="n">
        <v>30</v>
      </c>
      <c r="E20" s="8" t="n"/>
      <c r="F20" s="8" t="n"/>
      <c r="G20" s="8" t="n"/>
      <c r="H20" s="8" t="n"/>
    </row>
    <row r="21" ht="22" customHeight="1">
      <c r="B21" s="12" t="n">
        <v>15</v>
      </c>
      <c r="C21" s="13" t="inlineStr">
        <is>
          <t>有価証券評価損</t>
        </is>
      </c>
      <c r="D21" s="14" t="n">
        <v>20</v>
      </c>
      <c r="E21" s="8" t="n"/>
      <c r="F21" s="8" t="n"/>
      <c r="G21" s="8" t="n"/>
      <c r="H21" s="8" t="n"/>
    </row>
    <row r="23">
      <c r="B23" s="15" t="inlineStr">
        <is>
          <t>▼ 分類別集計（大分類・形態別・直接/間接・変動/固定）</t>
        </is>
      </c>
    </row>
    <row r="25" ht="22" customHeight="1">
      <c r="B25" s="16" t="inlineStr">
        <is>
          <t>区分</t>
        </is>
      </c>
      <c r="C25" s="16" t="inlineStr">
        <is>
          <t>内訳</t>
        </is>
      </c>
      <c r="D25" s="16" t="inlineStr">
        <is>
          <t>計算式（SUMIFS）</t>
        </is>
      </c>
      <c r="E25" s="17" t="n"/>
      <c r="F25" s="18" t="n"/>
      <c r="G25" s="16" t="inlineStr">
        <is>
          <t>金額</t>
        </is>
      </c>
      <c r="H25" s="16" t="inlineStr">
        <is>
          <t>検証</t>
        </is>
      </c>
    </row>
    <row r="26" ht="20" customHeight="1">
      <c r="B26" s="19" t="inlineStr">
        <is>
          <t>製造原価</t>
        </is>
      </c>
      <c r="C26" s="6" t="inlineStr">
        <is>
          <t>材料費合計</t>
        </is>
      </c>
      <c r="D26" s="20">
        <f>SUMIFS($D$7:$D$21,$E$7:$E$21,"製造原価",$F$7:$F$21,"材料費")</f>
        <v/>
      </c>
      <c r="E26" s="17" t="n"/>
      <c r="F26" s="18" t="n"/>
      <c r="G26" s="21">
        <f>SUMIFS($D$7:$D$21,$E$7:$E$21,"製造原価",$F$7:$F$21,"材料費")</f>
        <v/>
      </c>
      <c r="H26" s="22">
        <f>IF(G26=2160,"OK","NG")</f>
        <v/>
      </c>
    </row>
    <row r="27" ht="20" customHeight="1">
      <c r="B27" s="19" t="inlineStr">
        <is>
          <t>製造原価</t>
        </is>
      </c>
      <c r="C27" s="23" t="inlineStr">
        <is>
          <t xml:space="preserve">　うち 直接材料費</t>
        </is>
      </c>
      <c r="D27" s="20">
        <f>SUMIFS($D$7:$D$21,$E$7:$E$21,"製造原価",$F$7:$F$21,"材料費",$G$7:$G$21,"直接")</f>
        <v/>
      </c>
      <c r="E27" s="17" t="n"/>
      <c r="F27" s="18" t="n"/>
      <c r="G27" s="21">
        <f>SUMIFS($D$7:$D$21,$E$7:$E$21,"製造原価",$F$7:$F$21,"材料費",$G$7:$G$21,"直接")</f>
        <v/>
      </c>
      <c r="H27" s="22">
        <f>IF(G27=1800,"OK","NG")</f>
        <v/>
      </c>
    </row>
    <row r="28" ht="20" customHeight="1">
      <c r="B28" s="19" t="inlineStr">
        <is>
          <t>製造原価</t>
        </is>
      </c>
      <c r="C28" s="23" t="inlineStr">
        <is>
          <t xml:space="preserve">　うち 間接材料費</t>
        </is>
      </c>
      <c r="D28" s="20">
        <f>SUMIFS($D$7:$D$21,$E$7:$E$21,"製造原価",$F$7:$F$21,"材料費",$G$7:$G$21,"間接")</f>
        <v/>
      </c>
      <c r="E28" s="17" t="n"/>
      <c r="F28" s="18" t="n"/>
      <c r="G28" s="21">
        <f>SUMIFS($D$7:$D$21,$E$7:$E$21,"製造原価",$F$7:$F$21,"材料費",$G$7:$G$21,"間接")</f>
        <v/>
      </c>
      <c r="H28" s="22">
        <f>IF(G28=360,"OK","NG")</f>
        <v/>
      </c>
    </row>
    <row r="29" ht="20" customHeight="1">
      <c r="B29" s="19" t="inlineStr">
        <is>
          <t>製造原価</t>
        </is>
      </c>
      <c r="C29" s="6" t="inlineStr">
        <is>
          <t>労務費合計</t>
        </is>
      </c>
      <c r="D29" s="20">
        <f>SUMIFS($D$7:$D$21,$E$7:$E$21,"製造原価",$F$7:$F$21,"労務費")</f>
        <v/>
      </c>
      <c r="E29" s="17" t="n"/>
      <c r="F29" s="18" t="n"/>
      <c r="G29" s="21">
        <f>SUMIFS($D$7:$D$21,$E$7:$E$21,"製造原価",$F$7:$F$21,"労務費")</f>
        <v/>
      </c>
      <c r="H29" s="22">
        <f>IF(G29=3200,"OK","NG")</f>
        <v/>
      </c>
    </row>
    <row r="30" ht="20" customHeight="1">
      <c r="B30" s="19" t="inlineStr">
        <is>
          <t>製造原価</t>
        </is>
      </c>
      <c r="C30" s="23" t="inlineStr">
        <is>
          <t xml:space="preserve">　うち 直接労務費</t>
        </is>
      </c>
      <c r="D30" s="20">
        <f>SUMIFS($D$7:$D$21,$E$7:$E$21,"製造原価",$F$7:$F$21,"労務費",$G$7:$G$21,"直接")</f>
        <v/>
      </c>
      <c r="E30" s="17" t="n"/>
      <c r="F30" s="18" t="n"/>
      <c r="G30" s="21">
        <f>SUMIFS($D$7:$D$21,$E$7:$E$21,"製造原価",$F$7:$F$21,"労務費",$G$7:$G$21,"直接")</f>
        <v/>
      </c>
      <c r="H30" s="22">
        <f>IF(G30=2800,"OK","NG")</f>
        <v/>
      </c>
    </row>
    <row r="31" ht="20" customHeight="1">
      <c r="B31" s="19" t="inlineStr">
        <is>
          <t>製造原価</t>
        </is>
      </c>
      <c r="C31" s="23" t="inlineStr">
        <is>
          <t xml:space="preserve">　うち 間接労務費</t>
        </is>
      </c>
      <c r="D31" s="20">
        <f>SUMIFS($D$7:$D$21,$E$7:$E$21,"製造原価",$F$7:$F$21,"労務費",$G$7:$G$21,"間接")</f>
        <v/>
      </c>
      <c r="E31" s="17" t="n"/>
      <c r="F31" s="18" t="n"/>
      <c r="G31" s="21">
        <f>SUMIFS($D$7:$D$21,$E$7:$E$21,"製造原価",$F$7:$F$21,"労務費",$G$7:$G$21,"間接")</f>
        <v/>
      </c>
      <c r="H31" s="22">
        <f>IF(G31=400,"OK","NG")</f>
        <v/>
      </c>
    </row>
    <row r="32" ht="20" customHeight="1">
      <c r="B32" s="19" t="inlineStr">
        <is>
          <t>製造原価</t>
        </is>
      </c>
      <c r="C32" s="6" t="inlineStr">
        <is>
          <t>経費合計</t>
        </is>
      </c>
      <c r="D32" s="20">
        <f>SUMIFS($D$7:$D$21,$E$7:$E$21,"製造原価",$F$7:$F$21,"経費")</f>
        <v/>
      </c>
      <c r="E32" s="17" t="n"/>
      <c r="F32" s="18" t="n"/>
      <c r="G32" s="21">
        <f>SUMIFS($D$7:$D$21,$E$7:$E$21,"製造原価",$F$7:$F$21,"経費")</f>
        <v/>
      </c>
      <c r="H32" s="22">
        <f>IF(G32=480,"OK","NG")</f>
        <v/>
      </c>
    </row>
    <row r="33" ht="20" customHeight="1">
      <c r="B33" s="19" t="inlineStr">
        <is>
          <t>製造原価</t>
        </is>
      </c>
      <c r="C33" s="23" t="inlineStr">
        <is>
          <t xml:space="preserve">　うち 変動経費</t>
        </is>
      </c>
      <c r="D33" s="20">
        <f>SUMIFS($D$7:$D$21,$E$7:$E$21,"製造原価",$F$7:$F$21,"経費",$H$7:$H$21,"変動")</f>
        <v/>
      </c>
      <c r="E33" s="17" t="n"/>
      <c r="F33" s="18" t="n"/>
      <c r="G33" s="21">
        <f>SUMIFS($D$7:$D$21,$E$7:$E$21,"製造原価",$F$7:$F$21,"経費",$H$7:$H$21,"変動")</f>
        <v/>
      </c>
      <c r="H33" s="22">
        <f>IF(G33=260,"OK","NG")</f>
        <v/>
      </c>
    </row>
    <row r="34" ht="20" customHeight="1">
      <c r="B34" s="19" t="inlineStr">
        <is>
          <t>製造原価</t>
        </is>
      </c>
      <c r="C34" s="23" t="inlineStr">
        <is>
          <t xml:space="preserve">　うち 固定経費</t>
        </is>
      </c>
      <c r="D34" s="20">
        <f>SUMIFS($D$7:$D$21,$E$7:$E$21,"製造原価",$F$7:$F$21,"経費",$H$7:$H$21,"固定")</f>
        <v/>
      </c>
      <c r="E34" s="17" t="n"/>
      <c r="F34" s="18" t="n"/>
      <c r="G34" s="21">
        <f>SUMIFS($D$7:$D$21,$E$7:$E$21,"製造原価",$F$7:$F$21,"経費",$H$7:$H$21,"固定")</f>
        <v/>
      </c>
      <c r="H34" s="22">
        <f>IF(G34=220,"OK","NG")</f>
        <v/>
      </c>
    </row>
    <row r="35" ht="20" customHeight="1">
      <c r="B35" s="19" t="inlineStr">
        <is>
          <t>製造原価</t>
        </is>
      </c>
      <c r="C35" s="6" t="inlineStr">
        <is>
          <t>製造直接費合計</t>
        </is>
      </c>
      <c r="D35" s="20">
        <f>SUMIFS($D$7:$D$21,$E$7:$E$21,"製造原価",$G$7:$G$21,"直接")</f>
        <v/>
      </c>
      <c r="E35" s="17" t="n"/>
      <c r="F35" s="18" t="n"/>
      <c r="G35" s="21">
        <f>SUMIFS($D$7:$D$21,$E$7:$E$21,"製造原価",$G$7:$G$21,"直接")</f>
        <v/>
      </c>
      <c r="H35" s="22">
        <f>IF(G35=4600,"OK","NG")</f>
        <v/>
      </c>
    </row>
    <row r="36" ht="20" customHeight="1">
      <c r="B36" s="19" t="inlineStr">
        <is>
          <t>製造原価</t>
        </is>
      </c>
      <c r="C36" s="6" t="inlineStr">
        <is>
          <t>製造間接費合計</t>
        </is>
      </c>
      <c r="D36" s="20">
        <f>SUMIFS($D$7:$D$21,$E$7:$E$21,"製造原価",$G$7:$G$21,"間接")</f>
        <v/>
      </c>
      <c r="E36" s="17" t="n"/>
      <c r="F36" s="18" t="n"/>
      <c r="G36" s="21">
        <f>SUMIFS($D$7:$D$21,$E$7:$E$21,"製造原価",$G$7:$G$21,"間接")</f>
        <v/>
      </c>
      <c r="H36" s="22">
        <f>IF(G36=1240,"OK","NG")</f>
        <v/>
      </c>
    </row>
    <row r="37" ht="20" customHeight="1">
      <c r="B37" s="19" t="inlineStr">
        <is>
          <t>製造原価</t>
        </is>
      </c>
      <c r="C37" s="6" t="inlineStr">
        <is>
          <t>製造原価合計</t>
        </is>
      </c>
      <c r="D37" s="20">
        <f>SUMIF($E$7:$E$21,"製造原価",$D$7:$D$21)</f>
        <v/>
      </c>
      <c r="E37" s="17" t="n"/>
      <c r="F37" s="18" t="n"/>
      <c r="G37" s="21">
        <f>SUMIF($E$7:$E$21,"製造原価",$D$7:$D$21)</f>
        <v/>
      </c>
      <c r="H37" s="22">
        <f>IF(G37=5840,"OK","NG")</f>
        <v/>
      </c>
    </row>
    <row r="38" ht="20" customHeight="1">
      <c r="B38" s="24" t="inlineStr">
        <is>
          <t>販管費</t>
        </is>
      </c>
      <c r="C38" s="25" t="inlineStr">
        <is>
          <t>販管費合計</t>
        </is>
      </c>
      <c r="D38" s="20">
        <f>SUMIF($E$7:$E$21,"販管費",$D$7:$D$21)</f>
        <v/>
      </c>
      <c r="E38" s="17" t="n"/>
      <c r="F38" s="18" t="n"/>
      <c r="G38" s="21">
        <f>SUMIF($E$7:$E$21,"販管費",$D$7:$D$21)</f>
        <v/>
      </c>
      <c r="H38" s="22">
        <f>IF(G38=1050,"OK","NG")</f>
        <v/>
      </c>
    </row>
    <row r="39" ht="20" customHeight="1">
      <c r="B39" s="26" t="inlineStr">
        <is>
          <t>非原価</t>
        </is>
      </c>
      <c r="C39" s="27" t="inlineStr">
        <is>
          <t>非原価合計</t>
        </is>
      </c>
      <c r="D39" s="20">
        <f>SUMIF($E$7:$E$21,"非原価",$D$7:$D$21)</f>
        <v/>
      </c>
      <c r="E39" s="17" t="n"/>
      <c r="F39" s="18" t="n"/>
      <c r="G39" s="21">
        <f>SUMIF($E$7:$E$21,"非原価",$D$7:$D$21)</f>
        <v/>
      </c>
      <c r="H39" s="22">
        <f>IF(G39=50,"OK","NG")</f>
        <v/>
      </c>
    </row>
    <row r="42">
      <c r="B42" s="15" t="inlineStr">
        <is>
          <t>▼ What-ifチャレンジ（数字を変えて挙動を見る）</t>
        </is>
      </c>
    </row>
    <row r="43">
      <c r="B43" s="28" t="inlineStr">
        <is>
          <t>① 工場長・監督者給料（行11）を 280→400 に増やしてみる。製造間接費合計はどう変わる？</t>
        </is>
      </c>
    </row>
    <row r="44">
      <c r="B44" s="28" t="inlineStr">
        <is>
          <t>② 主要材料費（行7）を 1,800→2,000 に増やしてみる。製造直接費・製造原価合計への影響を確認。</t>
        </is>
      </c>
    </row>
    <row r="45">
      <c r="B45" s="28" t="inlineStr">
        <is>
          <t>③ 販売員給与（行16）を 600→800 に変えてみる。製造原価合計は変わる？（変わらないはず）</t>
        </is>
      </c>
    </row>
  </sheetData>
  <mergeCells count="23">
    <mergeCell ref="D27:F27"/>
    <mergeCell ref="D32:F32"/>
    <mergeCell ref="B45:H45"/>
    <mergeCell ref="D28:F28"/>
    <mergeCell ref="D37:F37"/>
    <mergeCell ref="D30:F30"/>
    <mergeCell ref="D25:F25"/>
    <mergeCell ref="B3:H3"/>
    <mergeCell ref="D39:F39"/>
    <mergeCell ref="D33:F33"/>
    <mergeCell ref="D38:F38"/>
    <mergeCell ref="D29:F29"/>
    <mergeCell ref="B43:H43"/>
    <mergeCell ref="D35:F35"/>
    <mergeCell ref="B2:H2"/>
    <mergeCell ref="D26:F26"/>
    <mergeCell ref="B42:H42"/>
    <mergeCell ref="D34:F34"/>
    <mergeCell ref="B23:H23"/>
    <mergeCell ref="B1:H1"/>
    <mergeCell ref="D31:F31"/>
    <mergeCell ref="B44:H44"/>
    <mergeCell ref="D36:F3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H52"/>
  <sheetViews>
    <sheetView workbookViewId="0">
      <selection activeCell="A1" sqref="A1"/>
    </sheetView>
  </sheetViews>
  <sheetFormatPr baseColWidth="8" defaultRowHeight="15"/>
  <cols>
    <col width="3" customWidth="1" min="1" max="1"/>
    <col width="4" customWidth="1" min="2" max="2"/>
    <col width="28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26" customHeight="1">
      <c r="B1" s="1" t="inlineStr">
        <is>
          <t>Day 02 費用分類（完成見本）</t>
        </is>
      </c>
    </row>
    <row r="2">
      <c r="B2" s="2" t="inlineStr">
        <is>
          <t>ASTRA Manufacturing 2026年4月 費用15項目　― 形態別・製品関連・操業度別の3軸で分類しよう</t>
        </is>
      </c>
    </row>
    <row r="3">
      <c r="B3" s="3" t="inlineStr">
        <is>
          <t>青文字=金額（入力値）　／　黄色セル=分類を入力　／　薄青セル=合計（自動計算）　／　緑セル=検証　　単位：千円</t>
        </is>
      </c>
    </row>
    <row r="4">
      <c r="B4" s="3" t="inlineStr">
        <is>
          <t>単位：千円</t>
        </is>
      </c>
    </row>
    <row r="6" ht="30" customHeight="1">
      <c r="B6" s="4" t="inlineStr">
        <is>
          <t>No</t>
        </is>
      </c>
      <c r="C6" s="4" t="inlineStr">
        <is>
          <t>費用項目</t>
        </is>
      </c>
      <c r="D6" s="4" t="inlineStr">
        <is>
          <t>金額</t>
        </is>
      </c>
      <c r="E6" s="4" t="inlineStr">
        <is>
          <t>大分類
製造原価/販管費/非原価</t>
        </is>
      </c>
      <c r="F6" s="4" t="inlineStr">
        <is>
          <t>形態別
材料費/労務費/経費/―</t>
        </is>
      </c>
      <c r="G6" s="4" t="inlineStr">
        <is>
          <t>直接・間接
直接/間接/―</t>
        </is>
      </c>
      <c r="H6" s="4" t="inlineStr">
        <is>
          <t>変動・固定
変動/固定/―</t>
        </is>
      </c>
    </row>
    <row r="7" ht="22" customHeight="1">
      <c r="B7" s="5" t="n">
        <v>1</v>
      </c>
      <c r="C7" s="6" t="inlineStr">
        <is>
          <t>主要材料費（電子基板）</t>
        </is>
      </c>
      <c r="D7" s="7" t="n">
        <v>1800</v>
      </c>
      <c r="E7" s="29" t="inlineStr">
        <is>
          <t>製造原価</t>
        </is>
      </c>
      <c r="F7" s="29" t="inlineStr">
        <is>
          <t>材料費</t>
        </is>
      </c>
      <c r="G7" s="29" t="inlineStr">
        <is>
          <t>直接</t>
        </is>
      </c>
      <c r="H7" s="29" t="inlineStr">
        <is>
          <t>変動</t>
        </is>
      </c>
    </row>
    <row r="8" ht="22" customHeight="1">
      <c r="B8" s="5" t="n">
        <v>2</v>
      </c>
      <c r="C8" s="6" t="inlineStr">
        <is>
          <t>補助材料費（はんだ・接着剤）</t>
        </is>
      </c>
      <c r="D8" s="7" t="n">
        <v>240</v>
      </c>
      <c r="E8" s="29" t="inlineStr">
        <is>
          <t>製造原価</t>
        </is>
      </c>
      <c r="F8" s="29" t="inlineStr">
        <is>
          <t>材料費</t>
        </is>
      </c>
      <c r="G8" s="29" t="inlineStr">
        <is>
          <t>間接</t>
        </is>
      </c>
      <c r="H8" s="29" t="inlineStr">
        <is>
          <t>変動</t>
        </is>
      </c>
    </row>
    <row r="9" ht="22" customHeight="1">
      <c r="B9" s="5" t="n">
        <v>3</v>
      </c>
      <c r="C9" s="6" t="inlineStr">
        <is>
          <t>工場消耗品費（軍手・清掃用品）</t>
        </is>
      </c>
      <c r="D9" s="7" t="n">
        <v>120</v>
      </c>
      <c r="E9" s="29" t="inlineStr">
        <is>
          <t>製造原価</t>
        </is>
      </c>
      <c r="F9" s="29" t="inlineStr">
        <is>
          <t>材料費</t>
        </is>
      </c>
      <c r="G9" s="29" t="inlineStr">
        <is>
          <t>間接</t>
        </is>
      </c>
      <c r="H9" s="29" t="inlineStr">
        <is>
          <t>変動</t>
        </is>
      </c>
    </row>
    <row r="10" ht="22" customHeight="1">
      <c r="B10" s="5" t="n">
        <v>4</v>
      </c>
      <c r="C10" s="6" t="inlineStr">
        <is>
          <t>直接工賃金</t>
        </is>
      </c>
      <c r="D10" s="7" t="n">
        <v>2800</v>
      </c>
      <c r="E10" s="29" t="inlineStr">
        <is>
          <t>製造原価</t>
        </is>
      </c>
      <c r="F10" s="29" t="inlineStr">
        <is>
          <t>労務費</t>
        </is>
      </c>
      <c r="G10" s="29" t="inlineStr">
        <is>
          <t>直接</t>
        </is>
      </c>
      <c r="H10" s="29" t="inlineStr">
        <is>
          <t>変動</t>
        </is>
      </c>
    </row>
    <row r="11" ht="22" customHeight="1">
      <c r="B11" s="5" t="n">
        <v>5</v>
      </c>
      <c r="C11" s="6" t="inlineStr">
        <is>
          <t>工場長・監督者給料</t>
        </is>
      </c>
      <c r="D11" s="7" t="n">
        <v>280</v>
      </c>
      <c r="E11" s="29" t="inlineStr">
        <is>
          <t>製造原価</t>
        </is>
      </c>
      <c r="F11" s="29" t="inlineStr">
        <is>
          <t>労務費</t>
        </is>
      </c>
      <c r="G11" s="29" t="inlineStr">
        <is>
          <t>間接</t>
        </is>
      </c>
      <c r="H11" s="29" t="inlineStr">
        <is>
          <t>固定</t>
        </is>
      </c>
    </row>
    <row r="12" ht="22" customHeight="1">
      <c r="B12" s="5" t="n">
        <v>6</v>
      </c>
      <c r="C12" s="6" t="inlineStr">
        <is>
          <t>保全・運搬工賃金</t>
        </is>
      </c>
      <c r="D12" s="7" t="n">
        <v>120</v>
      </c>
      <c r="E12" s="29" t="inlineStr">
        <is>
          <t>製造原価</t>
        </is>
      </c>
      <c r="F12" s="29" t="inlineStr">
        <is>
          <t>労務費</t>
        </is>
      </c>
      <c r="G12" s="29" t="inlineStr">
        <is>
          <t>間接</t>
        </is>
      </c>
      <c r="H12" s="29" t="inlineStr">
        <is>
          <t>変動</t>
        </is>
      </c>
    </row>
    <row r="13" ht="22" customHeight="1">
      <c r="B13" s="5" t="n">
        <v>7</v>
      </c>
      <c r="C13" s="6" t="inlineStr">
        <is>
          <t>工場水道光熱費</t>
        </is>
      </c>
      <c r="D13" s="7" t="n">
        <v>180</v>
      </c>
      <c r="E13" s="29" t="inlineStr">
        <is>
          <t>製造原価</t>
        </is>
      </c>
      <c r="F13" s="29" t="inlineStr">
        <is>
          <t>経費</t>
        </is>
      </c>
      <c r="G13" s="29" t="inlineStr">
        <is>
          <t>間接</t>
        </is>
      </c>
      <c r="H13" s="29" t="inlineStr">
        <is>
          <t>変動</t>
        </is>
      </c>
    </row>
    <row r="14" ht="22" customHeight="1">
      <c r="B14" s="5" t="n">
        <v>8</v>
      </c>
      <c r="C14" s="6" t="inlineStr">
        <is>
          <t>工場建物減価償却費</t>
        </is>
      </c>
      <c r="D14" s="7" t="n">
        <v>220</v>
      </c>
      <c r="E14" s="29" t="inlineStr">
        <is>
          <t>製造原価</t>
        </is>
      </c>
      <c r="F14" s="29" t="inlineStr">
        <is>
          <t>経費</t>
        </is>
      </c>
      <c r="G14" s="29" t="inlineStr">
        <is>
          <t>間接</t>
        </is>
      </c>
      <c r="H14" s="29" t="inlineStr">
        <is>
          <t>固定</t>
        </is>
      </c>
    </row>
    <row r="15" ht="22" customHeight="1">
      <c r="B15" s="5" t="n">
        <v>9</v>
      </c>
      <c r="C15" s="6" t="inlineStr">
        <is>
          <t>工場設備修繕費</t>
        </is>
      </c>
      <c r="D15" s="7" t="n">
        <v>80</v>
      </c>
      <c r="E15" s="29" t="inlineStr">
        <is>
          <t>製造原価</t>
        </is>
      </c>
      <c r="F15" s="29" t="inlineStr">
        <is>
          <t>経費</t>
        </is>
      </c>
      <c r="G15" s="29" t="inlineStr">
        <is>
          <t>間接</t>
        </is>
      </c>
      <c r="H15" s="29" t="inlineStr">
        <is>
          <t>変動</t>
        </is>
      </c>
    </row>
    <row r="16" ht="22" customHeight="1">
      <c r="B16" s="9" t="n">
        <v>10</v>
      </c>
      <c r="C16" s="10" t="inlineStr">
        <is>
          <t>販売員給与</t>
        </is>
      </c>
      <c r="D16" s="11" t="n">
        <v>600</v>
      </c>
      <c r="E16" s="29" t="inlineStr">
        <is>
          <t>販管費</t>
        </is>
      </c>
      <c r="F16" s="29" t="inlineStr">
        <is>
          <t>労務費</t>
        </is>
      </c>
      <c r="G16" s="29" t="inlineStr">
        <is>
          <t>―</t>
        </is>
      </c>
      <c r="H16" s="29" t="inlineStr">
        <is>
          <t>固定</t>
        </is>
      </c>
    </row>
    <row r="17" ht="22" customHeight="1">
      <c r="B17" s="9" t="n">
        <v>11</v>
      </c>
      <c r="C17" s="10" t="inlineStr">
        <is>
          <t>本社役員給料</t>
        </is>
      </c>
      <c r="D17" s="11" t="n">
        <v>270</v>
      </c>
      <c r="E17" s="29" t="inlineStr">
        <is>
          <t>販管費</t>
        </is>
      </c>
      <c r="F17" s="29" t="inlineStr">
        <is>
          <t>労務費</t>
        </is>
      </c>
      <c r="G17" s="29" t="inlineStr">
        <is>
          <t>―</t>
        </is>
      </c>
      <c r="H17" s="29" t="inlineStr">
        <is>
          <t>固定</t>
        </is>
      </c>
    </row>
    <row r="18" ht="22" customHeight="1">
      <c r="B18" s="9" t="n">
        <v>12</v>
      </c>
      <c r="C18" s="10" t="inlineStr">
        <is>
          <t>本社水道光熱費</t>
        </is>
      </c>
      <c r="D18" s="11" t="n">
        <v>80</v>
      </c>
      <c r="E18" s="29" t="inlineStr">
        <is>
          <t>販管費</t>
        </is>
      </c>
      <c r="F18" s="29" t="inlineStr">
        <is>
          <t>経費</t>
        </is>
      </c>
      <c r="G18" s="29" t="inlineStr">
        <is>
          <t>―</t>
        </is>
      </c>
      <c r="H18" s="29" t="inlineStr">
        <is>
          <t>変動</t>
        </is>
      </c>
    </row>
    <row r="19" ht="22" customHeight="1">
      <c r="B19" s="9" t="n">
        <v>13</v>
      </c>
      <c r="C19" s="10" t="inlineStr">
        <is>
          <t>広告宣伝費</t>
        </is>
      </c>
      <c r="D19" s="11" t="n">
        <v>100</v>
      </c>
      <c r="E19" s="29" t="inlineStr">
        <is>
          <t>販管費</t>
        </is>
      </c>
      <c r="F19" s="29" t="inlineStr">
        <is>
          <t>経費</t>
        </is>
      </c>
      <c r="G19" s="29" t="inlineStr">
        <is>
          <t>―</t>
        </is>
      </c>
      <c r="H19" s="29" t="inlineStr">
        <is>
          <t>変動</t>
        </is>
      </c>
    </row>
    <row r="20" ht="22" customHeight="1">
      <c r="B20" s="12" t="n">
        <v>14</v>
      </c>
      <c r="C20" s="13" t="inlineStr">
        <is>
          <t>支払利息</t>
        </is>
      </c>
      <c r="D20" s="14" t="n">
        <v>30</v>
      </c>
      <c r="E20" s="29" t="inlineStr">
        <is>
          <t>非原価</t>
        </is>
      </c>
      <c r="F20" s="29" t="inlineStr">
        <is>
          <t>―</t>
        </is>
      </c>
      <c r="G20" s="29" t="inlineStr">
        <is>
          <t>―</t>
        </is>
      </c>
      <c r="H20" s="29" t="inlineStr">
        <is>
          <t>固定</t>
        </is>
      </c>
    </row>
    <row r="21" ht="22" customHeight="1">
      <c r="B21" s="12" t="n">
        <v>15</v>
      </c>
      <c r="C21" s="13" t="inlineStr">
        <is>
          <t>有価証券評価損</t>
        </is>
      </c>
      <c r="D21" s="14" t="n">
        <v>20</v>
      </c>
      <c r="E21" s="29" t="inlineStr">
        <is>
          <t>非原価</t>
        </is>
      </c>
      <c r="F21" s="29" t="inlineStr">
        <is>
          <t>―</t>
        </is>
      </c>
      <c r="G21" s="29" t="inlineStr">
        <is>
          <t>―</t>
        </is>
      </c>
      <c r="H21" s="29" t="inlineStr">
        <is>
          <t>―</t>
        </is>
      </c>
    </row>
    <row r="23">
      <c r="B23" s="15" t="inlineStr">
        <is>
          <t>▼ 分類別集計（大分類・形態別・直接/間接・変動/固定）</t>
        </is>
      </c>
    </row>
    <row r="25" ht="22" customHeight="1">
      <c r="B25" s="16" t="inlineStr">
        <is>
          <t>区分</t>
        </is>
      </c>
      <c r="C25" s="16" t="inlineStr">
        <is>
          <t>内訳</t>
        </is>
      </c>
      <c r="D25" s="16" t="inlineStr">
        <is>
          <t>計算式（SUMIFS）</t>
        </is>
      </c>
      <c r="E25" s="17" t="n"/>
      <c r="F25" s="18" t="n"/>
      <c r="G25" s="16" t="inlineStr">
        <is>
          <t>金額</t>
        </is>
      </c>
      <c r="H25" s="16" t="inlineStr">
        <is>
          <t>検証</t>
        </is>
      </c>
    </row>
    <row r="26" ht="20" customHeight="1">
      <c r="B26" s="19" t="inlineStr">
        <is>
          <t>製造原価</t>
        </is>
      </c>
      <c r="C26" s="6" t="inlineStr">
        <is>
          <t>材料費合計</t>
        </is>
      </c>
      <c r="D26" s="20">
        <f>SUMIFS($D$7:$D$21,$E$7:$E$21,"製造原価",$F$7:$F$21,"材料費")</f>
        <v/>
      </c>
      <c r="E26" s="17" t="n"/>
      <c r="F26" s="18" t="n"/>
      <c r="G26" s="21">
        <f>SUMIFS($D$7:$D$21,$E$7:$E$21,"製造原価",$F$7:$F$21,"材料費")</f>
        <v/>
      </c>
      <c r="H26" s="22">
        <f>IF(G26=2160,"OK","NG")</f>
        <v/>
      </c>
    </row>
    <row r="27" ht="20" customHeight="1">
      <c r="B27" s="19" t="inlineStr">
        <is>
          <t>製造原価</t>
        </is>
      </c>
      <c r="C27" s="23" t="inlineStr">
        <is>
          <t xml:space="preserve">　うち 直接材料費</t>
        </is>
      </c>
      <c r="D27" s="20">
        <f>SUMIFS($D$7:$D$21,$E$7:$E$21,"製造原価",$F$7:$F$21,"材料費",$G$7:$G$21,"直接")</f>
        <v/>
      </c>
      <c r="E27" s="17" t="n"/>
      <c r="F27" s="18" t="n"/>
      <c r="G27" s="21">
        <f>SUMIFS($D$7:$D$21,$E$7:$E$21,"製造原価",$F$7:$F$21,"材料費",$G$7:$G$21,"直接")</f>
        <v/>
      </c>
      <c r="H27" s="22">
        <f>IF(G27=1800,"OK","NG")</f>
        <v/>
      </c>
    </row>
    <row r="28" ht="20" customHeight="1">
      <c r="B28" s="19" t="inlineStr">
        <is>
          <t>製造原価</t>
        </is>
      </c>
      <c r="C28" s="23" t="inlineStr">
        <is>
          <t xml:space="preserve">　うち 間接材料費</t>
        </is>
      </c>
      <c r="D28" s="20">
        <f>SUMIFS($D$7:$D$21,$E$7:$E$21,"製造原価",$F$7:$F$21,"材料費",$G$7:$G$21,"間接")</f>
        <v/>
      </c>
      <c r="E28" s="17" t="n"/>
      <c r="F28" s="18" t="n"/>
      <c r="G28" s="21">
        <f>SUMIFS($D$7:$D$21,$E$7:$E$21,"製造原価",$F$7:$F$21,"材料費",$G$7:$G$21,"間接")</f>
        <v/>
      </c>
      <c r="H28" s="22">
        <f>IF(G28=360,"OK","NG")</f>
        <v/>
      </c>
    </row>
    <row r="29" ht="20" customHeight="1">
      <c r="B29" s="19" t="inlineStr">
        <is>
          <t>製造原価</t>
        </is>
      </c>
      <c r="C29" s="6" t="inlineStr">
        <is>
          <t>労務費合計</t>
        </is>
      </c>
      <c r="D29" s="20">
        <f>SUMIFS($D$7:$D$21,$E$7:$E$21,"製造原価",$F$7:$F$21,"労務費")</f>
        <v/>
      </c>
      <c r="E29" s="17" t="n"/>
      <c r="F29" s="18" t="n"/>
      <c r="G29" s="21">
        <f>SUMIFS($D$7:$D$21,$E$7:$E$21,"製造原価",$F$7:$F$21,"労務費")</f>
        <v/>
      </c>
      <c r="H29" s="22">
        <f>IF(G29=3200,"OK","NG")</f>
        <v/>
      </c>
    </row>
    <row r="30" ht="20" customHeight="1">
      <c r="B30" s="19" t="inlineStr">
        <is>
          <t>製造原価</t>
        </is>
      </c>
      <c r="C30" s="23" t="inlineStr">
        <is>
          <t xml:space="preserve">　うち 直接労務費</t>
        </is>
      </c>
      <c r="D30" s="20">
        <f>SUMIFS($D$7:$D$21,$E$7:$E$21,"製造原価",$F$7:$F$21,"労務費",$G$7:$G$21,"直接")</f>
        <v/>
      </c>
      <c r="E30" s="17" t="n"/>
      <c r="F30" s="18" t="n"/>
      <c r="G30" s="21">
        <f>SUMIFS($D$7:$D$21,$E$7:$E$21,"製造原価",$F$7:$F$21,"労務費",$G$7:$G$21,"直接")</f>
        <v/>
      </c>
      <c r="H30" s="22">
        <f>IF(G30=2800,"OK","NG")</f>
        <v/>
      </c>
    </row>
    <row r="31" ht="20" customHeight="1">
      <c r="B31" s="19" t="inlineStr">
        <is>
          <t>製造原価</t>
        </is>
      </c>
      <c r="C31" s="23" t="inlineStr">
        <is>
          <t xml:space="preserve">　うち 間接労務費</t>
        </is>
      </c>
      <c r="D31" s="20">
        <f>SUMIFS($D$7:$D$21,$E$7:$E$21,"製造原価",$F$7:$F$21,"労務費",$G$7:$G$21,"間接")</f>
        <v/>
      </c>
      <c r="E31" s="17" t="n"/>
      <c r="F31" s="18" t="n"/>
      <c r="G31" s="21">
        <f>SUMIFS($D$7:$D$21,$E$7:$E$21,"製造原価",$F$7:$F$21,"労務費",$G$7:$G$21,"間接")</f>
        <v/>
      </c>
      <c r="H31" s="22">
        <f>IF(G31=400,"OK","NG")</f>
        <v/>
      </c>
    </row>
    <row r="32" ht="20" customHeight="1">
      <c r="B32" s="19" t="inlineStr">
        <is>
          <t>製造原価</t>
        </is>
      </c>
      <c r="C32" s="6" t="inlineStr">
        <is>
          <t>経費合計</t>
        </is>
      </c>
      <c r="D32" s="20">
        <f>SUMIFS($D$7:$D$21,$E$7:$E$21,"製造原価",$F$7:$F$21,"経費")</f>
        <v/>
      </c>
      <c r="E32" s="17" t="n"/>
      <c r="F32" s="18" t="n"/>
      <c r="G32" s="21">
        <f>SUMIFS($D$7:$D$21,$E$7:$E$21,"製造原価",$F$7:$F$21,"経費")</f>
        <v/>
      </c>
      <c r="H32" s="22">
        <f>IF(G32=480,"OK","NG")</f>
        <v/>
      </c>
    </row>
    <row r="33" ht="20" customHeight="1">
      <c r="B33" s="19" t="inlineStr">
        <is>
          <t>製造原価</t>
        </is>
      </c>
      <c r="C33" s="23" t="inlineStr">
        <is>
          <t xml:space="preserve">　うち 変動経費</t>
        </is>
      </c>
      <c r="D33" s="20">
        <f>SUMIFS($D$7:$D$21,$E$7:$E$21,"製造原価",$F$7:$F$21,"経費",$H$7:$H$21,"変動")</f>
        <v/>
      </c>
      <c r="E33" s="17" t="n"/>
      <c r="F33" s="18" t="n"/>
      <c r="G33" s="21">
        <f>SUMIFS($D$7:$D$21,$E$7:$E$21,"製造原価",$F$7:$F$21,"経費",$H$7:$H$21,"変動")</f>
        <v/>
      </c>
      <c r="H33" s="22">
        <f>IF(G33=260,"OK","NG")</f>
        <v/>
      </c>
    </row>
    <row r="34" ht="20" customHeight="1">
      <c r="B34" s="19" t="inlineStr">
        <is>
          <t>製造原価</t>
        </is>
      </c>
      <c r="C34" s="23" t="inlineStr">
        <is>
          <t xml:space="preserve">　うち 固定経費</t>
        </is>
      </c>
      <c r="D34" s="20">
        <f>SUMIFS($D$7:$D$21,$E$7:$E$21,"製造原価",$F$7:$F$21,"経費",$H$7:$H$21,"固定")</f>
        <v/>
      </c>
      <c r="E34" s="17" t="n"/>
      <c r="F34" s="18" t="n"/>
      <c r="G34" s="21">
        <f>SUMIFS($D$7:$D$21,$E$7:$E$21,"製造原価",$F$7:$F$21,"経費",$H$7:$H$21,"固定")</f>
        <v/>
      </c>
      <c r="H34" s="22">
        <f>IF(G34=220,"OK","NG")</f>
        <v/>
      </c>
    </row>
    <row r="35" ht="20" customHeight="1">
      <c r="B35" s="19" t="inlineStr">
        <is>
          <t>製造原価</t>
        </is>
      </c>
      <c r="C35" s="6" t="inlineStr">
        <is>
          <t>製造直接費合計</t>
        </is>
      </c>
      <c r="D35" s="20">
        <f>SUMIFS($D$7:$D$21,$E$7:$E$21,"製造原価",$G$7:$G$21,"直接")</f>
        <v/>
      </c>
      <c r="E35" s="17" t="n"/>
      <c r="F35" s="18" t="n"/>
      <c r="G35" s="21">
        <f>SUMIFS($D$7:$D$21,$E$7:$E$21,"製造原価",$G$7:$G$21,"直接")</f>
        <v/>
      </c>
      <c r="H35" s="22">
        <f>IF(G35=4600,"OK","NG")</f>
        <v/>
      </c>
    </row>
    <row r="36" ht="20" customHeight="1">
      <c r="B36" s="19" t="inlineStr">
        <is>
          <t>製造原価</t>
        </is>
      </c>
      <c r="C36" s="6" t="inlineStr">
        <is>
          <t>製造間接費合計</t>
        </is>
      </c>
      <c r="D36" s="20">
        <f>SUMIFS($D$7:$D$21,$E$7:$E$21,"製造原価",$G$7:$G$21,"間接")</f>
        <v/>
      </c>
      <c r="E36" s="17" t="n"/>
      <c r="F36" s="18" t="n"/>
      <c r="G36" s="21">
        <f>SUMIFS($D$7:$D$21,$E$7:$E$21,"製造原価",$G$7:$G$21,"間接")</f>
        <v/>
      </c>
      <c r="H36" s="22">
        <f>IF(G36=1240,"OK","NG")</f>
        <v/>
      </c>
    </row>
    <row r="37" ht="20" customHeight="1">
      <c r="B37" s="19" t="inlineStr">
        <is>
          <t>製造原価</t>
        </is>
      </c>
      <c r="C37" s="6" t="inlineStr">
        <is>
          <t>製造原価合計</t>
        </is>
      </c>
      <c r="D37" s="20">
        <f>SUMIF($E$7:$E$21,"製造原価",$D$7:$D$21)</f>
        <v/>
      </c>
      <c r="E37" s="17" t="n"/>
      <c r="F37" s="18" t="n"/>
      <c r="G37" s="21">
        <f>SUMIF($E$7:$E$21,"製造原価",$D$7:$D$21)</f>
        <v/>
      </c>
      <c r="H37" s="22">
        <f>IF(G37=5840,"OK","NG")</f>
        <v/>
      </c>
    </row>
    <row r="38" ht="20" customHeight="1">
      <c r="B38" s="24" t="inlineStr">
        <is>
          <t>販管費</t>
        </is>
      </c>
      <c r="C38" s="25" t="inlineStr">
        <is>
          <t>販管費合計</t>
        </is>
      </c>
      <c r="D38" s="20">
        <f>SUMIF($E$7:$E$21,"販管費",$D$7:$D$21)</f>
        <v/>
      </c>
      <c r="E38" s="17" t="n"/>
      <c r="F38" s="18" t="n"/>
      <c r="G38" s="21">
        <f>SUMIF($E$7:$E$21,"販管費",$D$7:$D$21)</f>
        <v/>
      </c>
      <c r="H38" s="22">
        <f>IF(G38=1050,"OK","NG")</f>
        <v/>
      </c>
    </row>
    <row r="39" ht="20" customHeight="1">
      <c r="B39" s="26" t="inlineStr">
        <is>
          <t>非原価</t>
        </is>
      </c>
      <c r="C39" s="27" t="inlineStr">
        <is>
          <t>非原価合計</t>
        </is>
      </c>
      <c r="D39" s="20">
        <f>SUMIF($E$7:$E$21,"非原価",$D$7:$D$21)</f>
        <v/>
      </c>
      <c r="E39" s="17" t="n"/>
      <c r="F39" s="18" t="n"/>
      <c r="G39" s="21">
        <f>SUMIF($E$7:$E$21,"非原価",$D$7:$D$21)</f>
        <v/>
      </c>
      <c r="H39" s="22">
        <f>IF(G39=50,"OK","NG")</f>
        <v/>
      </c>
    </row>
    <row r="42">
      <c r="B42" s="15" t="inlineStr">
        <is>
          <t>▼ What-ifチャレンジ（数字を変えて挙動を見る）</t>
        </is>
      </c>
    </row>
    <row r="43">
      <c r="B43" s="28" t="inlineStr">
        <is>
          <t>① 工場長・監督者給料（行11）を 280→400 に増やしてみる。製造間接費合計はどう変わる？</t>
        </is>
      </c>
    </row>
    <row r="44">
      <c r="B44" s="28" t="inlineStr">
        <is>
          <t>② 主要材料費（行7）を 1,800→2,000 に増やしてみる。製造直接費・製造原価合計への影響を確認。</t>
        </is>
      </c>
    </row>
    <row r="45">
      <c r="B45" s="28" t="inlineStr">
        <is>
          <t>③ 販売員給与（行16）を 600→800 に変えてみる。製造原価合計は変わる？（変わらないはず）</t>
        </is>
      </c>
    </row>
    <row r="47">
      <c r="B47" s="15" t="inlineStr">
        <is>
          <t>▼ ポイント解説</t>
        </is>
      </c>
    </row>
    <row r="48">
      <c r="B48" s="28" t="inlineStr">
        <is>
          <t>・Day 01では「製造間接費880千円」と一括していたが、内訳は 間接材料費360＋間接労務費400＋間接経費480＝1,240千円（正確な製造間接費）。</t>
        </is>
      </c>
    </row>
    <row r="49">
      <c r="B49" s="28" t="inlineStr">
        <is>
          <t>・Day 01の880は「製造間接費の一部（間接労務費400＋経費480）」であり、間接材料費360は別に集計していた（Day 02で修正）。</t>
        </is>
      </c>
    </row>
    <row r="50">
      <c r="B50" s="28" t="inlineStr">
        <is>
          <t>・製造直接費(4,600)＝直接材料費(1,800)＋直接労務費(2,800)。直接経費は今月発生なし（外注加工費などが該当）。</t>
        </is>
      </c>
    </row>
    <row r="51">
      <c r="B51" s="28" t="inlineStr">
        <is>
          <t>・製造間接費(1,240)は後でDay 13〜15の「配賦計算」で製品に割り振る。直接費と異なり、直接計算できないのが間接費。</t>
        </is>
      </c>
    </row>
    <row r="52">
      <c r="B52" s="28" t="inlineStr">
        <is>
          <t>・販管費(1,050)と非原価(50)は製造原価計算には関係しない。P/Lで営業利益計算時に使う。</t>
        </is>
      </c>
    </row>
  </sheetData>
  <mergeCells count="28">
    <mergeCell ref="D27:F27"/>
    <mergeCell ref="B49:H49"/>
    <mergeCell ref="D32:F32"/>
    <mergeCell ref="B51:H51"/>
    <mergeCell ref="B45:H45"/>
    <mergeCell ref="D28:F28"/>
    <mergeCell ref="B50:H50"/>
    <mergeCell ref="D37:F37"/>
    <mergeCell ref="D30:F30"/>
    <mergeCell ref="D25:F25"/>
    <mergeCell ref="B3:H3"/>
    <mergeCell ref="D39:F39"/>
    <mergeCell ref="D33:F33"/>
    <mergeCell ref="D38:F38"/>
    <mergeCell ref="D29:F29"/>
    <mergeCell ref="B52:H52"/>
    <mergeCell ref="B43:H43"/>
    <mergeCell ref="D35:F35"/>
    <mergeCell ref="B2:H2"/>
    <mergeCell ref="D26:F26"/>
    <mergeCell ref="B48:H48"/>
    <mergeCell ref="B42:H42"/>
    <mergeCell ref="D34:F34"/>
    <mergeCell ref="B23:H23"/>
    <mergeCell ref="B1:H1"/>
    <mergeCell ref="D31:F31"/>
    <mergeCell ref="B44:H44"/>
    <mergeCell ref="D36:F3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H42"/>
  <sheetViews>
    <sheetView workbookViewId="0">
      <selection activeCell="A1" sqref="A1"/>
    </sheetView>
  </sheetViews>
  <sheetFormatPr baseColWidth="8" defaultRowHeight="15"/>
  <cols>
    <col width="3" customWidth="1" min="1" max="1"/>
    <col width="4" customWidth="1" min="2" max="2"/>
    <col width="30" customWidth="1" min="3" max="3"/>
    <col width="13" customWidth="1" min="4" max="4"/>
    <col width="13" customWidth="1" min="5" max="5"/>
    <col width="36" customWidth="1" min="6" max="6"/>
    <col width="13" customWidth="1" min="7" max="7"/>
    <col width="13" customWidth="1" min="8" max="8"/>
  </cols>
  <sheetData>
    <row r="1" ht="26" customHeight="1">
      <c r="B1" s="1" t="inlineStr">
        <is>
          <t>Day 02 問15 総合問題（演習）</t>
        </is>
      </c>
    </row>
    <row r="2">
      <c r="B2" s="2" t="inlineStr">
        <is>
          <t>NEXUS Electronics 2026年9月 ― 資料15項目を分類して営業利益まで連動計算（単位：千円）</t>
        </is>
      </c>
    </row>
    <row r="3">
      <c r="B3" s="3" t="inlineStr">
        <is>
          <t>黄色セル=分類を入力（E列）　／　薄青セル=SUMIFで自動集計　／　緑セル=検証（OK/NG）</t>
        </is>
      </c>
    </row>
    <row r="5" ht="30" customHeight="1">
      <c r="B5" s="4" t="inlineStr">
        <is>
          <t>No</t>
        </is>
      </c>
      <c r="C5" s="4" t="inlineStr">
        <is>
          <t>資料項目</t>
        </is>
      </c>
      <c r="D5" s="4" t="inlineStr">
        <is>
          <t>金額</t>
        </is>
      </c>
      <c r="E5" s="4" t="inlineStr">
        <is>
          <t xml:space="preserve">区分を入力
MFG/SGA/NON/- </t>
        </is>
      </c>
      <c r="F5" s="4" t="inlineStr">
        <is>
          <t>ヒント（解答後確認）</t>
        </is>
      </c>
      <c r="G5" s="4" t="inlineStr">
        <is>
          <t>判定</t>
        </is>
      </c>
      <c r="H5" s="4" t="inlineStr">
        <is>
          <t>検証</t>
        </is>
      </c>
    </row>
    <row r="6" ht="20" customHeight="1">
      <c r="B6" s="30" t="n">
        <v>1</v>
      </c>
      <c r="C6" s="31" t="inlineStr">
        <is>
          <t>売上高</t>
        </is>
      </c>
      <c r="D6" s="32" t="n">
        <v>12600</v>
      </c>
      <c r="E6" s="8" t="n"/>
      <c r="F6" s="33" t="inlineStr">
        <is>
          <t>（売上高。費用分類の対象外）</t>
        </is>
      </c>
      <c r="G6" s="29">
        <f>IF(E6="","",IF(E6="-","◯","✕"))</f>
        <v/>
      </c>
      <c r="H6" s="34" t="n"/>
    </row>
    <row r="7" ht="20" customHeight="1">
      <c r="B7" s="30" t="n">
        <v>2</v>
      </c>
      <c r="C7" s="31" t="inlineStr">
        <is>
          <t>月初材料棚卸高</t>
        </is>
      </c>
      <c r="D7" s="32" t="n">
        <v>320</v>
      </c>
      <c r="E7" s="8" t="n"/>
      <c r="F7" s="33" t="inlineStr">
        <is>
          <t>（材料BOX月初）</t>
        </is>
      </c>
      <c r="G7" s="29">
        <f>IF(E7="","",IF(E7="-","◯","✕"))</f>
        <v/>
      </c>
      <c r="H7" s="34" t="n"/>
    </row>
    <row r="8" ht="20" customHeight="1">
      <c r="B8" s="30" t="n">
        <v>3</v>
      </c>
      <c r="C8" s="31" t="inlineStr">
        <is>
          <t>月末材料棚卸高</t>
        </is>
      </c>
      <c r="D8" s="32" t="n">
        <v>280</v>
      </c>
      <c r="E8" s="8" t="n"/>
      <c r="F8" s="33" t="inlineStr">
        <is>
          <t>（材料BOX月末）</t>
        </is>
      </c>
      <c r="G8" s="29">
        <f>IF(E8="","",IF(E8="-","◯","✕"))</f>
        <v/>
      </c>
      <c r="H8" s="34" t="n"/>
    </row>
    <row r="9" ht="20" customHeight="1">
      <c r="B9" s="30" t="n">
        <v>4</v>
      </c>
      <c r="C9" s="31" t="inlineStr">
        <is>
          <t>月初仕掛品棚卸高</t>
        </is>
      </c>
      <c r="D9" s="32" t="n">
        <v>540</v>
      </c>
      <c r="E9" s="8" t="n"/>
      <c r="F9" s="33" t="inlineStr">
        <is>
          <t>（仕掛品BOX月初）</t>
        </is>
      </c>
      <c r="G9" s="29">
        <f>IF(E9="","",IF(E9="-","◯","✕"))</f>
        <v/>
      </c>
      <c r="H9" s="34" t="n"/>
    </row>
    <row r="10" ht="20" customHeight="1">
      <c r="B10" s="30" t="n">
        <v>5</v>
      </c>
      <c r="C10" s="31" t="inlineStr">
        <is>
          <t>月末仕掛品棚卸高</t>
        </is>
      </c>
      <c r="D10" s="32" t="n">
        <v>480</v>
      </c>
      <c r="E10" s="8" t="n"/>
      <c r="F10" s="33" t="inlineStr">
        <is>
          <t>（仕掛品BOX月末）</t>
        </is>
      </c>
      <c r="G10" s="29">
        <f>IF(E10="","",IF(E10="-","◯","✕"))</f>
        <v/>
      </c>
      <c r="H10" s="34" t="n"/>
    </row>
    <row r="11" ht="20" customHeight="1">
      <c r="B11" s="30" t="n">
        <v>6</v>
      </c>
      <c r="C11" s="31" t="inlineStr">
        <is>
          <t>月初製品棚卸高</t>
        </is>
      </c>
      <c r="D11" s="32" t="n">
        <v>680</v>
      </c>
      <c r="E11" s="8" t="n"/>
      <c r="F11" s="33" t="inlineStr">
        <is>
          <t>（製品BOX月初）</t>
        </is>
      </c>
      <c r="G11" s="29">
        <f>IF(E11="","",IF(E11="-","◯","✕"))</f>
        <v/>
      </c>
      <c r="H11" s="34" t="n"/>
    </row>
    <row r="12" ht="20" customHeight="1">
      <c r="B12" s="30" t="n">
        <v>7</v>
      </c>
      <c r="C12" s="31" t="inlineStr">
        <is>
          <t>月末製品棚卸高</t>
        </is>
      </c>
      <c r="D12" s="32" t="n">
        <v>760</v>
      </c>
      <c r="E12" s="8" t="n"/>
      <c r="F12" s="33" t="inlineStr">
        <is>
          <t>（製品BOX月末）</t>
        </is>
      </c>
      <c r="G12" s="29">
        <f>IF(E12="","",IF(E12="-","◯","✕"))</f>
        <v/>
      </c>
      <c r="H12" s="34" t="n"/>
    </row>
    <row r="13" ht="20" customHeight="1">
      <c r="B13" s="30" t="n">
        <v>8</v>
      </c>
      <c r="C13" s="31" t="inlineStr">
        <is>
          <t>当月材料仕入高</t>
        </is>
      </c>
      <c r="D13" s="32" t="n">
        <v>3200</v>
      </c>
      <c r="E13" s="8" t="n"/>
      <c r="F13" s="33" t="inlineStr">
        <is>
          <t>（仕入額。材料費計算用）</t>
        </is>
      </c>
      <c r="G13" s="29">
        <f>IF(E13="","",IF(E13="-","◯","✕"))</f>
        <v/>
      </c>
      <c r="H13" s="34" t="n"/>
    </row>
    <row r="14" ht="20" customHeight="1">
      <c r="B14" s="30" t="n">
        <v>9</v>
      </c>
      <c r="C14" s="31" t="inlineStr">
        <is>
          <t>直接工賃金（当月消費）</t>
        </is>
      </c>
      <c r="D14" s="32" t="n">
        <v>3600</v>
      </c>
      <c r="E14" s="8" t="n"/>
      <c r="F14" s="33" t="inlineStr">
        <is>
          <t>（直接労務費）</t>
        </is>
      </c>
      <c r="G14" s="29">
        <f>IF(E14="","",IF(E14="MFG","◯","✕"))</f>
        <v/>
      </c>
      <c r="H14" s="34" t="n"/>
    </row>
    <row r="15" ht="20" customHeight="1">
      <c r="B15" s="30" t="n">
        <v>10</v>
      </c>
      <c r="C15" s="31" t="inlineStr">
        <is>
          <t>工場長・品質管理責任者 給料</t>
        </is>
      </c>
      <c r="D15" s="32" t="n">
        <v>360</v>
      </c>
      <c r="E15" s="8" t="n"/>
      <c r="F15" s="33" t="inlineStr">
        <is>
          <t>（間接労務費）</t>
        </is>
      </c>
      <c r="G15" s="29">
        <f>IF(E15="","",IF(E15="MFG","◯","✕"))</f>
        <v/>
      </c>
      <c r="H15" s="34" t="n"/>
    </row>
    <row r="16" ht="20" customHeight="1">
      <c r="B16" s="30" t="n">
        <v>11</v>
      </c>
      <c r="C16" s="31" t="inlineStr">
        <is>
          <t>間接工賃金（運搬・保全）</t>
        </is>
      </c>
      <c r="D16" s="32" t="n">
        <v>180</v>
      </c>
      <c r="E16" s="8" t="n"/>
      <c r="F16" s="33" t="inlineStr">
        <is>
          <t>（間接労務費）</t>
        </is>
      </c>
      <c r="G16" s="29">
        <f>IF(E16="","",IF(E16="MFG","◯","✕"))</f>
        <v/>
      </c>
      <c r="H16" s="34" t="n"/>
    </row>
    <row r="17" ht="20" customHeight="1">
      <c r="B17" s="30" t="n">
        <v>12</v>
      </c>
      <c r="C17" s="31" t="inlineStr">
        <is>
          <t>工場電力費</t>
        </is>
      </c>
      <c r="D17" s="32" t="n">
        <v>240</v>
      </c>
      <c r="E17" s="8" t="n"/>
      <c r="F17" s="33" t="inlineStr">
        <is>
          <t>（間接経費）</t>
        </is>
      </c>
      <c r="G17" s="29">
        <f>IF(E17="","",IF(E17="MFG","◯","✕"))</f>
        <v/>
      </c>
      <c r="H17" s="34" t="n"/>
    </row>
    <row r="18" ht="20" customHeight="1">
      <c r="B18" s="30" t="n">
        <v>13</v>
      </c>
      <c r="C18" s="31" t="inlineStr">
        <is>
          <t>工場建物 減価償却費</t>
        </is>
      </c>
      <c r="D18" s="32" t="n">
        <v>280</v>
      </c>
      <c r="E18" s="8" t="n"/>
      <c r="F18" s="33" t="inlineStr">
        <is>
          <t>（間接経費）</t>
        </is>
      </c>
      <c r="G18" s="29">
        <f>IF(E18="","",IF(E18="MFG","◯","✕"))</f>
        <v/>
      </c>
      <c r="H18" s="34" t="n"/>
    </row>
    <row r="19" ht="20" customHeight="1">
      <c r="B19" s="30" t="n">
        <v>14</v>
      </c>
      <c r="C19" s="31" t="inlineStr">
        <is>
          <t>工場設備 修繕費</t>
        </is>
      </c>
      <c r="D19" s="32" t="n">
        <v>120</v>
      </c>
      <c r="E19" s="8" t="n"/>
      <c r="F19" s="33" t="inlineStr">
        <is>
          <t>（間接経費）</t>
        </is>
      </c>
      <c r="G19" s="29">
        <f>IF(E19="","",IF(E19="MFG","◯","✕"))</f>
        <v/>
      </c>
      <c r="H19" s="34" t="n"/>
    </row>
    <row r="20" ht="20" customHeight="1">
      <c r="B20" s="30" t="n">
        <v>15</v>
      </c>
      <c r="C20" s="31" t="inlineStr">
        <is>
          <t>本社ビル 減価償却費</t>
        </is>
      </c>
      <c r="D20" s="32" t="n">
        <v>160</v>
      </c>
      <c r="E20" s="8" t="n"/>
      <c r="F20" s="33" t="inlineStr">
        <is>
          <t>← ひっかけ：本社なので販管費</t>
        </is>
      </c>
      <c r="G20" s="29">
        <f>IF(E20="","",IF(E20="SGA","◯","✕"))</f>
        <v/>
      </c>
      <c r="H20" s="34" t="n"/>
    </row>
    <row r="21" ht="20" customHeight="1">
      <c r="B21" s="30" t="n">
        <v>16</v>
      </c>
      <c r="C21" s="31" t="inlineStr">
        <is>
          <t>販売員給与</t>
        </is>
      </c>
      <c r="D21" s="32" t="n">
        <v>720</v>
      </c>
      <c r="E21" s="8" t="n"/>
      <c r="F21" s="33" t="inlineStr">
        <is>
          <t>（販管費）</t>
        </is>
      </c>
      <c r="G21" s="29">
        <f>IF(E21="","",IF(E21="SGA","◯","✕"))</f>
        <v/>
      </c>
      <c r="H21" s="34" t="n"/>
    </row>
    <row r="22" ht="20" customHeight="1">
      <c r="B22" s="30" t="n">
        <v>17</v>
      </c>
      <c r="C22" s="31" t="inlineStr">
        <is>
          <t>本社水道光熱費</t>
        </is>
      </c>
      <c r="D22" s="32" t="n">
        <v>90</v>
      </c>
      <c r="E22" s="8" t="n"/>
      <c r="F22" s="33" t="inlineStr">
        <is>
          <t>（販管費）</t>
        </is>
      </c>
      <c r="G22" s="29">
        <f>IF(E22="","",IF(E22="SGA","◯","✕"))</f>
        <v/>
      </c>
      <c r="H22" s="34" t="n"/>
    </row>
    <row r="23" ht="20" customHeight="1">
      <c r="B23" s="30" t="n">
        <v>18</v>
      </c>
      <c r="C23" s="31" t="inlineStr">
        <is>
          <t>広告宣伝費</t>
        </is>
      </c>
      <c r="D23" s="32" t="n">
        <v>130</v>
      </c>
      <c r="E23" s="8" t="n"/>
      <c r="F23" s="33" t="inlineStr">
        <is>
          <t>（販管費）</t>
        </is>
      </c>
      <c r="G23" s="29">
        <f>IF(E23="","",IF(E23="SGA","◯","✕"))</f>
        <v/>
      </c>
      <c r="H23" s="34" t="n"/>
    </row>
    <row r="24" ht="20" customHeight="1">
      <c r="B24" s="30" t="n">
        <v>19</v>
      </c>
      <c r="C24" s="31" t="inlineStr">
        <is>
          <t>支払利息（社債利息）</t>
        </is>
      </c>
      <c r="D24" s="32" t="n">
        <v>50</v>
      </c>
      <c r="E24" s="8" t="n"/>
      <c r="F24" s="33" t="inlineStr">
        <is>
          <t>← ひっかけ：非原価項目</t>
        </is>
      </c>
      <c r="G24" s="29">
        <f>IF(E24="","",IF(E24="NON","◯","✕"))</f>
        <v/>
      </c>
      <c r="H24" s="34" t="n"/>
    </row>
    <row r="27">
      <c r="B27" s="15" t="inlineStr">
        <is>
          <t>▼ 設問1〜5 連動計算（分類が正しければ正解値になります）</t>
        </is>
      </c>
    </row>
    <row r="29" ht="22" customHeight="1">
      <c r="B29" s="16" t="inlineStr">
        <is>
          <t>No</t>
        </is>
      </c>
      <c r="C29" s="16" t="inlineStr">
        <is>
          <t>設問</t>
        </is>
      </c>
      <c r="D29" s="16" t="inlineStr">
        <is>
          <t>計算式</t>
        </is>
      </c>
      <c r="E29" s="17" t="n"/>
      <c r="F29" s="18" t="n"/>
      <c r="G29" s="16" t="inlineStr">
        <is>
          <t>金額</t>
        </is>
      </c>
      <c r="H29" s="16" t="inlineStr">
        <is>
          <t>検証</t>
        </is>
      </c>
    </row>
    <row r="30" ht="24" customHeight="1">
      <c r="B30" s="35" t="inlineStr">
        <is>
          <t>設問1</t>
        </is>
      </c>
      <c r="C30" s="36" t="inlineStr">
        <is>
          <t>当月材料費（消費額）</t>
        </is>
      </c>
      <c r="D30" s="20">
        <f>D7+D13-D8</f>
        <v/>
      </c>
      <c r="E30" s="17" t="n"/>
      <c r="F30" s="18" t="n"/>
      <c r="G30" s="21">
        <f>D7+D13-D8</f>
        <v/>
      </c>
      <c r="H30" s="22">
        <f>IF(G30=3240,"OK","NG")</f>
        <v/>
      </c>
    </row>
    <row r="31" ht="24" customHeight="1">
      <c r="B31" s="35" t="inlineStr">
        <is>
          <t>設問2</t>
        </is>
      </c>
      <c r="C31" s="36" t="inlineStr">
        <is>
          <t>当月製造間接費合計</t>
        </is>
      </c>
      <c r="D31" s="20">
        <f>SUMIF($E$6:$E$24,"MFG",$D$6:$D$24)-D14</f>
        <v/>
      </c>
      <c r="E31" s="17" t="n"/>
      <c r="F31" s="18" t="n"/>
      <c r="G31" s="21">
        <f>SUMIF($E$6:$E$24,"MFG",$D$6:$D$24)-D14</f>
        <v/>
      </c>
      <c r="H31" s="22">
        <f>IF(G31=1180,"OK","NG")</f>
        <v/>
      </c>
    </row>
    <row r="32" ht="24" customHeight="1">
      <c r="B32" s="35" t="inlineStr">
        <is>
          <t>設問3</t>
        </is>
      </c>
      <c r="C32" s="36" t="inlineStr">
        <is>
          <t>当月製造費用</t>
        </is>
      </c>
      <c r="D32" s="20">
        <f>(D7+D13-D8)+D14+(SUMIF($E$6:$E$24,"MFG",$D$6:$D$24)-D14)</f>
        <v/>
      </c>
      <c r="E32" s="17" t="n"/>
      <c r="F32" s="18" t="n"/>
      <c r="G32" s="21">
        <f>(D7+D13-D8)+D14+(SUMIF($E$6:$E$24,"MFG",$D$6:$D$24)-D14)</f>
        <v/>
      </c>
      <c r="H32" s="22">
        <f>IF(G32=8020,"OK","NG")</f>
        <v/>
      </c>
    </row>
    <row r="33" ht="24" customHeight="1">
      <c r="B33" s="35" t="inlineStr">
        <is>
          <t>設問4</t>
        </is>
      </c>
      <c r="C33" s="36" t="inlineStr">
        <is>
          <t>当月完成品原価</t>
        </is>
      </c>
      <c r="D33" s="20">
        <f>D9+((D7+D13-D8)+D14+(SUMIF($E$6:$E$24,"MFG",$D$6:$D$24)-D14))-D10</f>
        <v/>
      </c>
      <c r="E33" s="17" t="n"/>
      <c r="F33" s="18" t="n"/>
      <c r="G33" s="21">
        <f>D9+((D7+D13-D8)+D14+(SUMIF($E$6:$E$24,"MFG",$D$6:$D$24)-D14))-D10</f>
        <v/>
      </c>
      <c r="H33" s="22">
        <f>IF(G33=8080,"OK","NG")</f>
        <v/>
      </c>
    </row>
    <row r="34" ht="24" customHeight="1">
      <c r="B34" s="35" t="inlineStr">
        <is>
          <t>設問5</t>
        </is>
      </c>
      <c r="C34" s="36" t="inlineStr">
        <is>
          <t>営業利益</t>
        </is>
      </c>
      <c r="D34" s="20">
        <f>D6-(D11+(D9+((D7+D13-D8)+D14+(SUMIF($E$6:$E$24,"MFG",$D$6:$D$24)-D14))-D10)-D12)-SUMIF($E$6:$E$24,"SGA",$D$6:$D$24)</f>
        <v/>
      </c>
      <c r="E34" s="17" t="n"/>
      <c r="F34" s="18" t="n"/>
      <c r="G34" s="21">
        <f>D6-(D11+(D9+((D7+D13-D8)+D14+(SUMIF($E$6:$E$24,"MFG",$D$6:$D$24)-D14))-D10)-D12)-SUMIF($E$6:$E$24,"SGA",$D$6:$D$24)</f>
        <v/>
      </c>
      <c r="H34" s="22">
        <f>IF(G34=3500,"OK","NG")</f>
        <v/>
      </c>
    </row>
    <row r="37">
      <c r="B37" s="15" t="inlineStr">
        <is>
          <t>▼ 解き方のポイント（ひっかけ2箇所）</t>
        </is>
      </c>
    </row>
    <row r="38">
      <c r="B38" s="28" t="inlineStr">
        <is>
          <t>① No.10『工場長・品質管理責任者給料』は MFG（製造原価・間接労務費）。『工場』の管理職だから。</t>
        </is>
      </c>
    </row>
    <row r="39">
      <c r="B39" s="28" t="inlineStr">
        <is>
          <t>② No.15『本社ビル減価償却費』は SGA（販管費）。『本社』なので製造原価には入れない ← 典型ひっかけ</t>
        </is>
      </c>
    </row>
    <row r="40">
      <c r="B40" s="28" t="inlineStr">
        <is>
          <t>③ No.19『支払利息』は NON（非原価項目）。財務費用なので営業利益の計算に含めない ← ひっかけ</t>
        </is>
      </c>
    </row>
    <row r="41">
      <c r="B41" s="28" t="inlineStr">
        <is>
          <t>④ No.1〜8 は費用分類の対象外（売上・棚卸・仕入）。E列は『-』のまま。</t>
        </is>
      </c>
    </row>
    <row r="42">
      <c r="B42" s="28" t="inlineStr">
        <is>
          <t>⑤ 分類を1項目でも間違えると、設問1〜5 の検証が NG になります。E列を見直しましょう。</t>
        </is>
      </c>
    </row>
  </sheetData>
  <mergeCells count="15">
    <mergeCell ref="D29:F29"/>
    <mergeCell ref="B40:H40"/>
    <mergeCell ref="B27:H27"/>
    <mergeCell ref="B1:H1"/>
    <mergeCell ref="B41:H41"/>
    <mergeCell ref="D31:F31"/>
    <mergeCell ref="D32:F32"/>
    <mergeCell ref="B39:H39"/>
    <mergeCell ref="B38:H38"/>
    <mergeCell ref="B2:H2"/>
    <mergeCell ref="B42:H42"/>
    <mergeCell ref="D30:F30"/>
    <mergeCell ref="B3:H3"/>
    <mergeCell ref="D33:F33"/>
    <mergeCell ref="D34:F3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H42"/>
  <sheetViews>
    <sheetView workbookViewId="0">
      <selection activeCell="A1" sqref="A1"/>
    </sheetView>
  </sheetViews>
  <sheetFormatPr baseColWidth="8" defaultRowHeight="15"/>
  <cols>
    <col width="3" customWidth="1" min="1" max="1"/>
    <col width="4" customWidth="1" min="2" max="2"/>
    <col width="30" customWidth="1" min="3" max="3"/>
    <col width="13" customWidth="1" min="4" max="4"/>
    <col width="13" customWidth="1" min="5" max="5"/>
    <col width="36" customWidth="1" min="6" max="6"/>
    <col width="13" customWidth="1" min="7" max="7"/>
    <col width="13" customWidth="1" min="8" max="8"/>
  </cols>
  <sheetData>
    <row r="1" ht="26" customHeight="1">
      <c r="B1" s="1" t="inlineStr">
        <is>
          <t>Day 02 問15 総合問題（完成見本）</t>
        </is>
      </c>
    </row>
    <row r="2">
      <c r="B2" s="2" t="inlineStr">
        <is>
          <t>NEXUS Electronics 2026年9月 ― 資料15項目を分類して営業利益まで連動計算（単位：千円）</t>
        </is>
      </c>
    </row>
    <row r="3">
      <c r="B3" s="3" t="inlineStr">
        <is>
          <t>黄色セル=分類を入力（E列）　／　薄青セル=SUMIFで自動集計　／　緑セル=検証（OK/NG）</t>
        </is>
      </c>
    </row>
    <row r="5" ht="30" customHeight="1">
      <c r="B5" s="4" t="inlineStr">
        <is>
          <t>No</t>
        </is>
      </c>
      <c r="C5" s="4" t="inlineStr">
        <is>
          <t>資料項目</t>
        </is>
      </c>
      <c r="D5" s="4" t="inlineStr">
        <is>
          <t>金額</t>
        </is>
      </c>
      <c r="E5" s="4" t="inlineStr">
        <is>
          <t xml:space="preserve">区分を入力
MFG/SGA/NON/- </t>
        </is>
      </c>
      <c r="F5" s="4" t="inlineStr">
        <is>
          <t>ヒント（解答後確認）</t>
        </is>
      </c>
      <c r="G5" s="4" t="inlineStr">
        <is>
          <t>判定</t>
        </is>
      </c>
      <c r="H5" s="4" t="inlineStr">
        <is>
          <t>検証</t>
        </is>
      </c>
    </row>
    <row r="6" ht="20" customHeight="1">
      <c r="B6" s="30" t="n">
        <v>1</v>
      </c>
      <c r="C6" s="31" t="inlineStr">
        <is>
          <t>売上高</t>
        </is>
      </c>
      <c r="D6" s="32" t="n">
        <v>12600</v>
      </c>
      <c r="E6" s="29" t="inlineStr">
        <is>
          <t>-</t>
        </is>
      </c>
      <c r="F6" s="33" t="inlineStr">
        <is>
          <t>（売上高。費用分類の対象外）</t>
        </is>
      </c>
      <c r="G6" s="29">
        <f>IF(E6="","",IF(E6="-","◯","✕"))</f>
        <v/>
      </c>
      <c r="H6" s="34" t="n"/>
    </row>
    <row r="7" ht="20" customHeight="1">
      <c r="B7" s="30" t="n">
        <v>2</v>
      </c>
      <c r="C7" s="31" t="inlineStr">
        <is>
          <t>月初材料棚卸高</t>
        </is>
      </c>
      <c r="D7" s="32" t="n">
        <v>320</v>
      </c>
      <c r="E7" s="29" t="inlineStr">
        <is>
          <t>-</t>
        </is>
      </c>
      <c r="F7" s="33" t="inlineStr">
        <is>
          <t>（材料BOX月初）</t>
        </is>
      </c>
      <c r="G7" s="29">
        <f>IF(E7="","",IF(E7="-","◯","✕"))</f>
        <v/>
      </c>
      <c r="H7" s="34" t="n"/>
    </row>
    <row r="8" ht="20" customHeight="1">
      <c r="B8" s="30" t="n">
        <v>3</v>
      </c>
      <c r="C8" s="31" t="inlineStr">
        <is>
          <t>月末材料棚卸高</t>
        </is>
      </c>
      <c r="D8" s="32" t="n">
        <v>280</v>
      </c>
      <c r="E8" s="29" t="inlineStr">
        <is>
          <t>-</t>
        </is>
      </c>
      <c r="F8" s="33" t="inlineStr">
        <is>
          <t>（材料BOX月末）</t>
        </is>
      </c>
      <c r="G8" s="29">
        <f>IF(E8="","",IF(E8="-","◯","✕"))</f>
        <v/>
      </c>
      <c r="H8" s="34" t="n"/>
    </row>
    <row r="9" ht="20" customHeight="1">
      <c r="B9" s="30" t="n">
        <v>4</v>
      </c>
      <c r="C9" s="31" t="inlineStr">
        <is>
          <t>月初仕掛品棚卸高</t>
        </is>
      </c>
      <c r="D9" s="32" t="n">
        <v>540</v>
      </c>
      <c r="E9" s="29" t="inlineStr">
        <is>
          <t>-</t>
        </is>
      </c>
      <c r="F9" s="33" t="inlineStr">
        <is>
          <t>（仕掛品BOX月初）</t>
        </is>
      </c>
      <c r="G9" s="29">
        <f>IF(E9="","",IF(E9="-","◯","✕"))</f>
        <v/>
      </c>
      <c r="H9" s="34" t="n"/>
    </row>
    <row r="10" ht="20" customHeight="1">
      <c r="B10" s="30" t="n">
        <v>5</v>
      </c>
      <c r="C10" s="31" t="inlineStr">
        <is>
          <t>月末仕掛品棚卸高</t>
        </is>
      </c>
      <c r="D10" s="32" t="n">
        <v>480</v>
      </c>
      <c r="E10" s="29" t="inlineStr">
        <is>
          <t>-</t>
        </is>
      </c>
      <c r="F10" s="33" t="inlineStr">
        <is>
          <t>（仕掛品BOX月末）</t>
        </is>
      </c>
      <c r="G10" s="29">
        <f>IF(E10="","",IF(E10="-","◯","✕"))</f>
        <v/>
      </c>
      <c r="H10" s="34" t="n"/>
    </row>
    <row r="11" ht="20" customHeight="1">
      <c r="B11" s="30" t="n">
        <v>6</v>
      </c>
      <c r="C11" s="31" t="inlineStr">
        <is>
          <t>月初製品棚卸高</t>
        </is>
      </c>
      <c r="D11" s="32" t="n">
        <v>680</v>
      </c>
      <c r="E11" s="29" t="inlineStr">
        <is>
          <t>-</t>
        </is>
      </c>
      <c r="F11" s="33" t="inlineStr">
        <is>
          <t>（製品BOX月初）</t>
        </is>
      </c>
      <c r="G11" s="29">
        <f>IF(E11="","",IF(E11="-","◯","✕"))</f>
        <v/>
      </c>
      <c r="H11" s="34" t="n"/>
    </row>
    <row r="12" ht="20" customHeight="1">
      <c r="B12" s="30" t="n">
        <v>7</v>
      </c>
      <c r="C12" s="31" t="inlineStr">
        <is>
          <t>月末製品棚卸高</t>
        </is>
      </c>
      <c r="D12" s="32" t="n">
        <v>760</v>
      </c>
      <c r="E12" s="29" t="inlineStr">
        <is>
          <t>-</t>
        </is>
      </c>
      <c r="F12" s="33" t="inlineStr">
        <is>
          <t>（製品BOX月末）</t>
        </is>
      </c>
      <c r="G12" s="29">
        <f>IF(E12="","",IF(E12="-","◯","✕"))</f>
        <v/>
      </c>
      <c r="H12" s="34" t="n"/>
    </row>
    <row r="13" ht="20" customHeight="1">
      <c r="B13" s="30" t="n">
        <v>8</v>
      </c>
      <c r="C13" s="31" t="inlineStr">
        <is>
          <t>当月材料仕入高</t>
        </is>
      </c>
      <c r="D13" s="32" t="n">
        <v>3200</v>
      </c>
      <c r="E13" s="29" t="inlineStr">
        <is>
          <t>-</t>
        </is>
      </c>
      <c r="F13" s="33" t="inlineStr">
        <is>
          <t>（仕入額。材料費計算用）</t>
        </is>
      </c>
      <c r="G13" s="29">
        <f>IF(E13="","",IF(E13="-","◯","✕"))</f>
        <v/>
      </c>
      <c r="H13" s="34" t="n"/>
    </row>
    <row r="14" ht="20" customHeight="1">
      <c r="B14" s="30" t="n">
        <v>9</v>
      </c>
      <c r="C14" s="31" t="inlineStr">
        <is>
          <t>直接工賃金（当月消費）</t>
        </is>
      </c>
      <c r="D14" s="32" t="n">
        <v>3600</v>
      </c>
      <c r="E14" s="29" t="inlineStr">
        <is>
          <t>MFG</t>
        </is>
      </c>
      <c r="F14" s="33" t="inlineStr">
        <is>
          <t>（直接労務費）</t>
        </is>
      </c>
      <c r="G14" s="29">
        <f>IF(E14="","",IF(E14="MFG","◯","✕"))</f>
        <v/>
      </c>
      <c r="H14" s="34" t="n"/>
    </row>
    <row r="15" ht="20" customHeight="1">
      <c r="B15" s="30" t="n">
        <v>10</v>
      </c>
      <c r="C15" s="31" t="inlineStr">
        <is>
          <t>工場長・品質管理責任者 給料</t>
        </is>
      </c>
      <c r="D15" s="32" t="n">
        <v>360</v>
      </c>
      <c r="E15" s="29" t="inlineStr">
        <is>
          <t>MFG</t>
        </is>
      </c>
      <c r="F15" s="33" t="inlineStr">
        <is>
          <t>（間接労務費）</t>
        </is>
      </c>
      <c r="G15" s="29">
        <f>IF(E15="","",IF(E15="MFG","◯","✕"))</f>
        <v/>
      </c>
      <c r="H15" s="34" t="n"/>
    </row>
    <row r="16" ht="20" customHeight="1">
      <c r="B16" s="30" t="n">
        <v>11</v>
      </c>
      <c r="C16" s="31" t="inlineStr">
        <is>
          <t>間接工賃金（運搬・保全）</t>
        </is>
      </c>
      <c r="D16" s="32" t="n">
        <v>180</v>
      </c>
      <c r="E16" s="29" t="inlineStr">
        <is>
          <t>MFG</t>
        </is>
      </c>
      <c r="F16" s="33" t="inlineStr">
        <is>
          <t>（間接労務費）</t>
        </is>
      </c>
      <c r="G16" s="29">
        <f>IF(E16="","",IF(E16="MFG","◯","✕"))</f>
        <v/>
      </c>
      <c r="H16" s="34" t="n"/>
    </row>
    <row r="17" ht="20" customHeight="1">
      <c r="B17" s="30" t="n">
        <v>12</v>
      </c>
      <c r="C17" s="31" t="inlineStr">
        <is>
          <t>工場電力費</t>
        </is>
      </c>
      <c r="D17" s="32" t="n">
        <v>240</v>
      </c>
      <c r="E17" s="29" t="inlineStr">
        <is>
          <t>MFG</t>
        </is>
      </c>
      <c r="F17" s="33" t="inlineStr">
        <is>
          <t>（間接経費）</t>
        </is>
      </c>
      <c r="G17" s="29">
        <f>IF(E17="","",IF(E17="MFG","◯","✕"))</f>
        <v/>
      </c>
      <c r="H17" s="34" t="n"/>
    </row>
    <row r="18" ht="20" customHeight="1">
      <c r="B18" s="30" t="n">
        <v>13</v>
      </c>
      <c r="C18" s="31" t="inlineStr">
        <is>
          <t>工場建物 減価償却費</t>
        </is>
      </c>
      <c r="D18" s="32" t="n">
        <v>280</v>
      </c>
      <c r="E18" s="29" t="inlineStr">
        <is>
          <t>MFG</t>
        </is>
      </c>
      <c r="F18" s="33" t="inlineStr">
        <is>
          <t>（間接経費）</t>
        </is>
      </c>
      <c r="G18" s="29">
        <f>IF(E18="","",IF(E18="MFG","◯","✕"))</f>
        <v/>
      </c>
      <c r="H18" s="34" t="n"/>
    </row>
    <row r="19" ht="20" customHeight="1">
      <c r="B19" s="30" t="n">
        <v>14</v>
      </c>
      <c r="C19" s="31" t="inlineStr">
        <is>
          <t>工場設備 修繕費</t>
        </is>
      </c>
      <c r="D19" s="32" t="n">
        <v>120</v>
      </c>
      <c r="E19" s="29" t="inlineStr">
        <is>
          <t>MFG</t>
        </is>
      </c>
      <c r="F19" s="33" t="inlineStr">
        <is>
          <t>（間接経費）</t>
        </is>
      </c>
      <c r="G19" s="29">
        <f>IF(E19="","",IF(E19="MFG","◯","✕"))</f>
        <v/>
      </c>
      <c r="H19" s="34" t="n"/>
    </row>
    <row r="20" ht="20" customHeight="1">
      <c r="B20" s="30" t="n">
        <v>15</v>
      </c>
      <c r="C20" s="31" t="inlineStr">
        <is>
          <t>本社ビル 減価償却費</t>
        </is>
      </c>
      <c r="D20" s="32" t="n">
        <v>160</v>
      </c>
      <c r="E20" s="29" t="inlineStr">
        <is>
          <t>SGA</t>
        </is>
      </c>
      <c r="F20" s="33" t="inlineStr">
        <is>
          <t>← ひっかけ：本社なので販管費</t>
        </is>
      </c>
      <c r="G20" s="29">
        <f>IF(E20="","",IF(E20="SGA","◯","✕"))</f>
        <v/>
      </c>
      <c r="H20" s="34" t="n"/>
    </row>
    <row r="21" ht="20" customHeight="1">
      <c r="B21" s="30" t="n">
        <v>16</v>
      </c>
      <c r="C21" s="31" t="inlineStr">
        <is>
          <t>販売員給与</t>
        </is>
      </c>
      <c r="D21" s="32" t="n">
        <v>720</v>
      </c>
      <c r="E21" s="29" t="inlineStr">
        <is>
          <t>SGA</t>
        </is>
      </c>
      <c r="F21" s="33" t="inlineStr">
        <is>
          <t>（販管費）</t>
        </is>
      </c>
      <c r="G21" s="29">
        <f>IF(E21="","",IF(E21="SGA","◯","✕"))</f>
        <v/>
      </c>
      <c r="H21" s="34" t="n"/>
    </row>
    <row r="22" ht="20" customHeight="1">
      <c r="B22" s="30" t="n">
        <v>17</v>
      </c>
      <c r="C22" s="31" t="inlineStr">
        <is>
          <t>本社水道光熱費</t>
        </is>
      </c>
      <c r="D22" s="32" t="n">
        <v>90</v>
      </c>
      <c r="E22" s="29" t="inlineStr">
        <is>
          <t>SGA</t>
        </is>
      </c>
      <c r="F22" s="33" t="inlineStr">
        <is>
          <t>（販管費）</t>
        </is>
      </c>
      <c r="G22" s="29">
        <f>IF(E22="","",IF(E22="SGA","◯","✕"))</f>
        <v/>
      </c>
      <c r="H22" s="34" t="n"/>
    </row>
    <row r="23" ht="20" customHeight="1">
      <c r="B23" s="30" t="n">
        <v>18</v>
      </c>
      <c r="C23" s="31" t="inlineStr">
        <is>
          <t>広告宣伝費</t>
        </is>
      </c>
      <c r="D23" s="32" t="n">
        <v>130</v>
      </c>
      <c r="E23" s="29" t="inlineStr">
        <is>
          <t>SGA</t>
        </is>
      </c>
      <c r="F23" s="33" t="inlineStr">
        <is>
          <t>（販管費）</t>
        </is>
      </c>
      <c r="G23" s="29">
        <f>IF(E23="","",IF(E23="SGA","◯","✕"))</f>
        <v/>
      </c>
      <c r="H23" s="34" t="n"/>
    </row>
    <row r="24" ht="20" customHeight="1">
      <c r="B24" s="30" t="n">
        <v>19</v>
      </c>
      <c r="C24" s="31" t="inlineStr">
        <is>
          <t>支払利息（社債利息）</t>
        </is>
      </c>
      <c r="D24" s="32" t="n">
        <v>50</v>
      </c>
      <c r="E24" s="29" t="inlineStr">
        <is>
          <t>NON</t>
        </is>
      </c>
      <c r="F24" s="33" t="inlineStr">
        <is>
          <t>← ひっかけ：非原価項目</t>
        </is>
      </c>
      <c r="G24" s="29">
        <f>IF(E24="","",IF(E24="NON","◯","✕"))</f>
        <v/>
      </c>
      <c r="H24" s="34" t="n"/>
    </row>
    <row r="27">
      <c r="B27" s="15" t="inlineStr">
        <is>
          <t>▼ 設問1〜5 連動計算（分類が正しければ正解値になります）</t>
        </is>
      </c>
    </row>
    <row r="29" ht="22" customHeight="1">
      <c r="B29" s="16" t="inlineStr">
        <is>
          <t>No</t>
        </is>
      </c>
      <c r="C29" s="16" t="inlineStr">
        <is>
          <t>設問</t>
        </is>
      </c>
      <c r="D29" s="16" t="inlineStr">
        <is>
          <t>計算式</t>
        </is>
      </c>
      <c r="E29" s="17" t="n"/>
      <c r="F29" s="18" t="n"/>
      <c r="G29" s="16" t="inlineStr">
        <is>
          <t>金額</t>
        </is>
      </c>
      <c r="H29" s="16" t="inlineStr">
        <is>
          <t>検証</t>
        </is>
      </c>
    </row>
    <row r="30" ht="24" customHeight="1">
      <c r="B30" s="35" t="inlineStr">
        <is>
          <t>設問1</t>
        </is>
      </c>
      <c r="C30" s="36" t="inlineStr">
        <is>
          <t>当月材料費（消費額）</t>
        </is>
      </c>
      <c r="D30" s="20">
        <f>D7+D13-D8</f>
        <v/>
      </c>
      <c r="E30" s="17" t="n"/>
      <c r="F30" s="18" t="n"/>
      <c r="G30" s="21">
        <f>D7+D13-D8</f>
        <v/>
      </c>
      <c r="H30" s="22">
        <f>IF(G30=3240,"OK","NG")</f>
        <v/>
      </c>
    </row>
    <row r="31" ht="24" customHeight="1">
      <c r="B31" s="35" t="inlineStr">
        <is>
          <t>設問2</t>
        </is>
      </c>
      <c r="C31" s="36" t="inlineStr">
        <is>
          <t>当月製造間接費合計</t>
        </is>
      </c>
      <c r="D31" s="20">
        <f>SUMIF($E$6:$E$24,"MFG",$D$6:$D$24)-D14</f>
        <v/>
      </c>
      <c r="E31" s="17" t="n"/>
      <c r="F31" s="18" t="n"/>
      <c r="G31" s="21">
        <f>SUMIF($E$6:$E$24,"MFG",$D$6:$D$24)-D14</f>
        <v/>
      </c>
      <c r="H31" s="22">
        <f>IF(G31=1180,"OK","NG")</f>
        <v/>
      </c>
    </row>
    <row r="32" ht="24" customHeight="1">
      <c r="B32" s="35" t="inlineStr">
        <is>
          <t>設問3</t>
        </is>
      </c>
      <c r="C32" s="36" t="inlineStr">
        <is>
          <t>当月製造費用</t>
        </is>
      </c>
      <c r="D32" s="20">
        <f>(D7+D13-D8)+D14+(SUMIF($E$6:$E$24,"MFG",$D$6:$D$24)-D14)</f>
        <v/>
      </c>
      <c r="E32" s="17" t="n"/>
      <c r="F32" s="18" t="n"/>
      <c r="G32" s="21">
        <f>(D7+D13-D8)+D14+(SUMIF($E$6:$E$24,"MFG",$D$6:$D$24)-D14)</f>
        <v/>
      </c>
      <c r="H32" s="22">
        <f>IF(G32=8020,"OK","NG")</f>
        <v/>
      </c>
    </row>
    <row r="33" ht="24" customHeight="1">
      <c r="B33" s="35" t="inlineStr">
        <is>
          <t>設問4</t>
        </is>
      </c>
      <c r="C33" s="36" t="inlineStr">
        <is>
          <t>当月完成品原価</t>
        </is>
      </c>
      <c r="D33" s="20">
        <f>D9+((D7+D13-D8)+D14+(SUMIF($E$6:$E$24,"MFG",$D$6:$D$24)-D14))-D10</f>
        <v/>
      </c>
      <c r="E33" s="17" t="n"/>
      <c r="F33" s="18" t="n"/>
      <c r="G33" s="21">
        <f>D9+((D7+D13-D8)+D14+(SUMIF($E$6:$E$24,"MFG",$D$6:$D$24)-D14))-D10</f>
        <v/>
      </c>
      <c r="H33" s="22">
        <f>IF(G33=8080,"OK","NG")</f>
        <v/>
      </c>
    </row>
    <row r="34" ht="24" customHeight="1">
      <c r="B34" s="35" t="inlineStr">
        <is>
          <t>設問5</t>
        </is>
      </c>
      <c r="C34" s="36" t="inlineStr">
        <is>
          <t>営業利益</t>
        </is>
      </c>
      <c r="D34" s="20">
        <f>D6-(D11+(D9+((D7+D13-D8)+D14+(SUMIF($E$6:$E$24,"MFG",$D$6:$D$24)-D14))-D10)-D12)-SUMIF($E$6:$E$24,"SGA",$D$6:$D$24)</f>
        <v/>
      </c>
      <c r="E34" s="17" t="n"/>
      <c r="F34" s="18" t="n"/>
      <c r="G34" s="21">
        <f>D6-(D11+(D9+((D7+D13-D8)+D14+(SUMIF($E$6:$E$24,"MFG",$D$6:$D$24)-D14))-D10)-D12)-SUMIF($E$6:$E$24,"SGA",$D$6:$D$24)</f>
        <v/>
      </c>
      <c r="H34" s="22">
        <f>IF(G34=3500,"OK","NG")</f>
        <v/>
      </c>
    </row>
    <row r="37">
      <c r="B37" s="15" t="inlineStr">
        <is>
          <t>▼ 解き方のポイント（ひっかけ2箇所）</t>
        </is>
      </c>
    </row>
    <row r="38">
      <c r="B38" s="28" t="inlineStr">
        <is>
          <t>① No.10『工場長・品質管理責任者給料』は MFG（製造原価・間接労務費）。『工場』の管理職だから。</t>
        </is>
      </c>
    </row>
    <row r="39">
      <c r="B39" s="28" t="inlineStr">
        <is>
          <t>② No.15『本社ビル減価償却費』は SGA（販管費）。『本社』なので製造原価には入れない ← 典型ひっかけ</t>
        </is>
      </c>
    </row>
    <row r="40">
      <c r="B40" s="28" t="inlineStr">
        <is>
          <t>③ No.19『支払利息』は NON（非原価項目）。財務費用なので営業利益の計算に含めない ← ひっかけ</t>
        </is>
      </c>
    </row>
    <row r="41">
      <c r="B41" s="28" t="inlineStr">
        <is>
          <t>④ No.1〜8 は費用分類の対象外（売上・棚卸・仕入）。E列は『-』のまま。</t>
        </is>
      </c>
    </row>
    <row r="42">
      <c r="B42" s="28" t="inlineStr">
        <is>
          <t>⑤ 分類を1項目でも間違えると、設問1〜5 の検証が NG になります。E列を見直しましょう。</t>
        </is>
      </c>
    </row>
  </sheetData>
  <mergeCells count="15">
    <mergeCell ref="D29:F29"/>
    <mergeCell ref="B40:H40"/>
    <mergeCell ref="B27:H27"/>
    <mergeCell ref="B1:H1"/>
    <mergeCell ref="B41:H41"/>
    <mergeCell ref="D31:F31"/>
    <mergeCell ref="D32:F32"/>
    <mergeCell ref="B39:H39"/>
    <mergeCell ref="B38:H38"/>
    <mergeCell ref="B2:H2"/>
    <mergeCell ref="B42:H42"/>
    <mergeCell ref="D30:F30"/>
    <mergeCell ref="B3:H3"/>
    <mergeCell ref="D33:F33"/>
    <mergeCell ref="D34:F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2026-04-21T21:52:11Z</dcterms:created>
  <dcterms:modified xmlns:dcterms="http://purl.org/dc/terms/" xmlns:xsi="http://www.w3.org/2001/XMLSchema-instance" xsi:type="dcterms:W3CDTF">2026-04-21T21:52:11Z</dcterms:modified>
</cp:coreProperties>
</file>